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คำแนะนำ" sheetId="1" r:id="rId1"/>
    <sheet name="F_อาคาร" sheetId="2" r:id="rId2"/>
    <sheet name="F_ทาง" sheetId="3" r:id="rId3"/>
    <sheet name="F_ชลประทาน" sheetId="4" r:id="rId4"/>
    <sheet name="F_สะพานและท่อเหลี่ยม" sheetId="5" r:id="rId5"/>
    <sheet name="รายการคำนวณเทียบค่างานต้นทุน" sheetId="6" r:id="rId6"/>
  </sheets>
  <definedNames>
    <definedName name="_xlnm.Print_Area" localSheetId="3">'F_ชลประทาน'!$D$9:$X$59</definedName>
    <definedName name="_xlnm.Print_Area" localSheetId="2">'F_ทาง'!$D$9:$X$54</definedName>
    <definedName name="_xlnm.Print_Area" localSheetId="4">'F_สะพานและท่อเหลี่ยม'!$D$9:$P$59</definedName>
    <definedName name="_xlnm.Print_Area" localSheetId="1">'F_อาคาร'!$D$9:$P$41</definedName>
    <definedName name="_xlnm.Print_Area" localSheetId="5">'รายการคำนวณเทียบค่างานต้นทุน'!$A$1:$G$24</definedName>
  </definedNames>
  <calcPr fullCalcOnLoad="1"/>
</workbook>
</file>

<file path=xl/sharedStrings.xml><?xml version="1.0" encoding="utf-8"?>
<sst xmlns="http://schemas.openxmlformats.org/spreadsheetml/2006/main" count="337" uniqueCount="180">
  <si>
    <t>ดอกเบี้ยเงินกู้</t>
  </si>
  <si>
    <t>Factor F</t>
  </si>
  <si>
    <t>%</t>
  </si>
  <si>
    <t>ค่าภาษีมูลค่าเพิ่ม (VAT)</t>
  </si>
  <si>
    <t>ค่างานต้นทุน</t>
  </si>
  <si>
    <t>บาท</t>
  </si>
  <si>
    <t>ค่างาน(ล้านบาท)</t>
  </si>
  <si>
    <t>ค่างานต่ำกว่า</t>
  </si>
  <si>
    <t>ค่างานสูงกว่า</t>
  </si>
  <si>
    <t>ตำแหน่งค่าต่ำ</t>
  </si>
  <si>
    <t>ตำแหน่งค่าสูง</t>
  </si>
  <si>
    <t>FactorF</t>
  </si>
  <si>
    <t>ค่าFactor F ที่ได้</t>
  </si>
  <si>
    <t>ค่าFactor F</t>
  </si>
  <si>
    <t>รวมในรูป
Factor</t>
  </si>
  <si>
    <t>ภาษีมูลค่าเพิ่ม
(VAT)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</si>
  <si>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</si>
  <si>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</si>
  <si>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</si>
  <si>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</si>
  <si>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</si>
  <si>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</si>
  <si>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</si>
  <si>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</si>
  <si>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</si>
  <si>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t>ตารางคำนวณหาค่า Factor F งานก่อสร้างอาคาร</t>
  </si>
  <si>
    <t xml:space="preserve">    เงินล่วงหน้าจ่าย</t>
  </si>
  <si>
    <t xml:space="preserve">    เงินประกันผลงานหัก</t>
  </si>
  <si>
    <t>ค่างานรวมค่า Factor F</t>
  </si>
  <si>
    <t>www.yotathai.net</t>
  </si>
  <si>
    <t>ค่าใช้จ่ายในการดำเนินงานก่อสร้าง (%)</t>
  </si>
  <si>
    <t>ค่า อก.ฝนชุก</t>
  </si>
  <si>
    <t>ค่าอก.เพิ่ม</t>
  </si>
  <si>
    <t>กระทบ
เดือน</t>
  </si>
  <si>
    <t>อัตรา
ดอกเบี้ยเพิ่ม</t>
  </si>
  <si>
    <t>ค่าความเสี่ยงโครงการเพิ่ม</t>
  </si>
  <si>
    <t>รวม</t>
  </si>
  <si>
    <t>Factor F
ฝนชุก
1</t>
  </si>
  <si>
    <t>Factor F
ฝนชุก
2</t>
  </si>
  <si>
    <t>จังหวัด</t>
  </si>
  <si>
    <t>ฝนชุก</t>
  </si>
  <si>
    <t>พื้นที่ฝนชุก</t>
  </si>
  <si>
    <t>จันทบุรี</t>
  </si>
  <si>
    <t>ชุมพร</t>
  </si>
  <si>
    <t>เชียงราย</t>
  </si>
  <si>
    <t>ตรัง</t>
  </si>
  <si>
    <t>ตราด</t>
  </si>
  <si>
    <t>นครพนม</t>
  </si>
  <si>
    <t>นครศรีธรรมราช</t>
  </si>
  <si>
    <t>นราธิวาส</t>
  </si>
  <si>
    <t>ปราจีนบุรี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</si>
  <si>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</si>
  <si>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</si>
  <si>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</si>
  <si>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</si>
  <si>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</si>
  <si>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</si>
  <si>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</si>
  <si>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</si>
  <si>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</si>
  <si>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หนองคาย</t>
  </si>
  <si>
    <t>ปกติ</t>
  </si>
  <si>
    <t>อื่นๆ</t>
  </si>
  <si>
    <t>ลาว</t>
  </si>
  <si>
    <t>=IF($V$6=1,VLOOKUP(Y17,$B$16:$V$50,20,FALSE),IF($V$6=2,VLOOKUP(Y17,$B$16:$V$50,21,FALSE),VLOOKUP(Y17,$B$16:$V$50,13,FALSE)))</t>
  </si>
  <si>
    <t>=IF($V$6=1,VLOOKUP(Y20,$B$16:$V$50,20,FALSE),IF($V$6=2,VLOOKUP(Y20,$B$16:$V$50,21,FALSE),VLOOKUP(Y20,$B$16:$V$50,13,FALSE)))</t>
  </si>
  <si>
    <t>ตารางคำนวณหาค่า Factor F งานก่อสร้างทาง</t>
  </si>
  <si>
    <t>ค่างาน
(ทุน)
ล้านบาท</t>
  </si>
  <si>
    <t>ตารางคำนวณหาค่า Factor F งานก่อสร้างสะพานและท่อเหลี่ยม</t>
  </si>
  <si>
    <t>การจัดทำตารางคำนวณนี้ มีจุดประสงค์เพื่ออำนวยความสะดวกแก่ผู้ใช้งาน</t>
  </si>
  <si>
    <t xml:space="preserve">เรื่องเกณฑ์การคำนวณราคากลางงานก่อสร้างของราชการ ฉบับใหม่ </t>
  </si>
  <si>
    <t>โดยตารางการคำนวณ ค่า Factor F นี้ สามารถปรับเปลี่ยน เงื่อนไข ส่วนประกอบ</t>
  </si>
  <si>
    <t>ผู้จัดทำ สละเวลาจัดทำขึ้น เพื่อจุดมุ่งหมายในการสรรค์สร้าง และพัฒนาชาติเป็นสำคัญ</t>
  </si>
  <si>
    <t xml:space="preserve">จึงมุ่งหมายที่จะให้ มีการใช้งานอย่างแพร่หลาย  การนำไปแก้ไขเพื่อใช้งานและ </t>
  </si>
  <si>
    <t>อ่านก่อนใช้งาน</t>
  </si>
  <si>
    <t xml:space="preserve">การพัฒนาต่อยอด จึงสามารถกระทำได้ โดยทันที  ทั้งนี้ ได้ตั้งค่าการป้องกันแผ่นงาน </t>
  </si>
  <si>
    <t>ไว้เพื่อป้องกันการแก้ไข โดยไม่ตั้งใจ  รหัสผ่านเพื่อยกเลิกการป้องกันแผ่นงานคือ</t>
  </si>
  <si>
    <t>yotathai</t>
  </si>
  <si>
    <t>ครับ</t>
  </si>
  <si>
    <t>1. ทาง Email : yotathai@gmail.com</t>
  </si>
  <si>
    <t>2. ทาง MSN : mapisith@hotmail.com</t>
  </si>
  <si>
    <t>หากประสงค์จะติดต่อผู้จัดทำตารางคำนวณ  ติดต่อได้ดังนี้</t>
  </si>
  <si>
    <t>โทรศัพท์นอกเวลาราชการ ขอใด้โปรดหลีกเลี่ยง</t>
  </si>
  <si>
    <t>ของค่า Factor F ได้ตามข้อเท็จจริงของแต่ละโครงการ ตลอดถึงสถานที่ และห้วงเวลา</t>
  </si>
  <si>
    <t>สวัสดีครับ....</t>
  </si>
  <si>
    <t>ในการคำนวณหาค่า  Factor F ที่ถูกต้อง  ตามมติ ครม. เมื่อวันที่ 6 กุมภาพันธ์ 2550</t>
  </si>
  <si>
    <t>ตารางคำนวณค่า Factor F F2550 V.2.0 นี้เป็นเวอร์ชั่นที่ปรับปรุงจากรุ่น V.1.0 นะครับ</t>
  </si>
  <si>
    <t xml:space="preserve">เนื่องจาก กรมบัญชีกลางได้แจ้งเวียนอัตราดอกเบี้ยเงินกู้ ใหม่เปลี่ยนจาก 7% เป็น 6% </t>
  </si>
  <si>
    <t xml:space="preserve">ตามหนังสือด่วนที่สุดที่ กค 0421.5/ว 20 ลว. 13 มีนาคม 2552 </t>
  </si>
  <si>
    <t>เท่ากับ 6%  7% และ 8% เท่านั้นนะครับ หากดอกเบี้ย เงินกู้ ต่ำ หรือ สูงกว่านี้</t>
  </si>
  <si>
    <r>
      <t xml:space="preserve">ผมจะปรับปรุงและแจ้งให้เพื่อนๆ ทราบอีกครับ ในเว็บ </t>
    </r>
    <r>
      <rPr>
        <b/>
        <sz val="14"/>
        <color indexed="9"/>
        <rFont val="BrowalliaUPC"/>
        <family val="2"/>
      </rPr>
      <t>โยธาไทย</t>
    </r>
    <r>
      <rPr>
        <sz val="14"/>
        <color indexed="9"/>
        <rFont val="BrowalliaUPC"/>
        <family val="2"/>
      </rPr>
      <t xml:space="preserve"> นะครับ</t>
    </r>
  </si>
  <si>
    <t>ผมได้ทำการปรับปรุง เมื่อวันที่ 18 มีนาคม 2552</t>
  </si>
  <si>
    <t>โปรแกรมนี้ สามารถคำนวณ ค่า Factor F ที่ตัวแปรอัตราดอกเบี้ยเงินกู้</t>
  </si>
  <si>
    <t>นายอภิสิทธิ์  มากสุวรรณ (ช่างถึก)</t>
  </si>
  <si>
    <t>3. Web site : http://www.yotathai.net</t>
  </si>
  <si>
    <t>ตาราง Factor F งานก่อสร้างชลประทาน</t>
  </si>
  <si>
    <t>เนื่องจาก ค่างานต้นทุนอยู่ระหว่างช่วงของค่างานต้นทุนที่กำหนด</t>
  </si>
  <si>
    <t>=</t>
  </si>
  <si>
    <t>รายการคำนวณ</t>
  </si>
  <si>
    <r>
      <rPr>
        <sz val="11"/>
        <rFont val="BrowalliaUPC"/>
        <family val="2"/>
      </rPr>
      <t xml:space="preserve"> </t>
    </r>
    <r>
      <rPr>
        <sz val="11"/>
        <rFont val="Times New Roman"/>
        <family val="1"/>
      </rPr>
      <t>≤</t>
    </r>
    <r>
      <rPr>
        <sz val="14"/>
        <rFont val="BrowalliaUPC"/>
        <family val="2"/>
      </rPr>
      <t xml:space="preserve"> 5</t>
    </r>
  </si>
  <si>
    <t>&gt;1,000</t>
  </si>
  <si>
    <t>ภาษีมูลค่า เพิ่ม
(VAT)</t>
  </si>
  <si>
    <t>หมายถึง ค่างานต้นทุนที่ต้องการหาค่า Factor F</t>
  </si>
  <si>
    <t>ที่ค่างานต้นทุนที่ต้องการหาค่า Factor F (ค่างานต้นทุน A อยู่)</t>
  </si>
  <si>
    <t xml:space="preserve">B </t>
  </si>
  <si>
    <t xml:space="preserve">C </t>
  </si>
  <si>
    <t xml:space="preserve">D </t>
  </si>
  <si>
    <t xml:space="preserve">E </t>
  </si>
  <si>
    <t>ค่างานต้นทุนที่ต้องการหาค่า Factor F</t>
  </si>
  <si>
    <t xml:space="preserve">แทนค่าในสูตร </t>
  </si>
  <si>
    <t>สูตร  ค่า Factor F ของค่างานต้นทุน A = D-{(D-E)x(A-B)/(C-B)}</t>
  </si>
  <si>
    <t xml:space="preserve">  </t>
  </si>
  <si>
    <r>
      <t>หมายถึง ค่างานต้นทุน</t>
    </r>
    <r>
      <rPr>
        <b/>
        <sz val="14"/>
        <color indexed="12"/>
        <rFont val="Browallia New"/>
        <family val="2"/>
      </rPr>
      <t>ขั้นต่ำ</t>
    </r>
    <r>
      <rPr>
        <sz val="14"/>
        <color indexed="8"/>
        <rFont val="Browallia New"/>
        <family val="2"/>
      </rPr>
      <t>ของช่วงค่างานต้นทุน ที่ค่างานต้นทุน</t>
    </r>
  </si>
  <si>
    <r>
      <t>หมายถึง ค่างานต้นทุน</t>
    </r>
    <r>
      <rPr>
        <b/>
        <sz val="14"/>
        <color indexed="12"/>
        <rFont val="Browallia New"/>
        <family val="2"/>
      </rPr>
      <t>ขั้นสูง</t>
    </r>
    <r>
      <rPr>
        <sz val="14"/>
        <color indexed="8"/>
        <rFont val="Browallia New"/>
        <family val="2"/>
      </rPr>
      <t>ของช่วงค่างานต้นทุน ที่ค่างานต้นทุน</t>
    </r>
  </si>
  <si>
    <r>
      <t>หมายถึง ค่า Factor F ของค่างานต้นทุน</t>
    </r>
    <r>
      <rPr>
        <b/>
        <sz val="14"/>
        <color indexed="12"/>
        <rFont val="Browallia New"/>
        <family val="2"/>
      </rPr>
      <t>ขั้นต่ำ</t>
    </r>
    <r>
      <rPr>
        <sz val="14"/>
        <color indexed="8"/>
        <rFont val="Browallia New"/>
        <family val="2"/>
      </rPr>
      <t>ของช่วงค่างานต้นทุน</t>
    </r>
  </si>
  <si>
    <r>
      <t>หมายถึง ค่า Factor F ของค่างานต้นทุน</t>
    </r>
    <r>
      <rPr>
        <b/>
        <sz val="14"/>
        <color indexed="12"/>
        <rFont val="Browallia New"/>
        <family val="2"/>
      </rPr>
      <t>ขั้นสูง</t>
    </r>
    <r>
      <rPr>
        <sz val="14"/>
        <color indexed="8"/>
        <rFont val="Browallia New"/>
        <family val="2"/>
      </rPr>
      <t>ของช่วงค่างานต้นทุน</t>
    </r>
  </si>
  <si>
    <t>จะได้ Factor F ของค่างานต้นทุน A</t>
  </si>
  <si>
    <t>อาคาร</t>
  </si>
  <si>
    <t>ทาง</t>
  </si>
  <si>
    <t>ชลประทาน</t>
  </si>
  <si>
    <t>ตาราง Factor F งานก่อสร้างสะพานและท่อเหลี่ยม</t>
  </si>
  <si>
    <t>ตาราง Factor F งานก่อสร้างทาง</t>
  </si>
  <si>
    <t>ตาราง Factor F งานก่อสร้างอาคาร</t>
  </si>
  <si>
    <t xml:space="preserve">ข้อแนะนำ </t>
  </si>
  <si>
    <t>กรณีของค่างานต้นทุนอยู่ระหว่างช่วงของค่างานต้นทุนที่กำหนด ซึ่งตามหลักเกณฑ์การคำนวณ</t>
  </si>
  <si>
    <t>ราคากลางฯ กำหนดให้เทียบอัตราส่วนเพื่อหาค่า Factor F หรือใช้สูตรในการคำนวณหาค่า</t>
  </si>
  <si>
    <t>ผมจัดทำหน้านี้ไว้เพื่ออำนวยความสะดวกสำหรับตรวจสอบและแสดงวิธีการคำนวณ</t>
  </si>
  <si>
    <t>หน้านี้ครับ</t>
  </si>
  <si>
    <t>สะพานและท่อเหลี่ยม</t>
  </si>
  <si>
    <t>การปรับปรุง</t>
  </si>
  <si>
    <t>หาค่า Factor F ให้ช่วยทำการปรับปรุงตารางการคำนวณหาค่า Factor F นี้</t>
  </si>
  <si>
    <t>เพิ่มเติมรายละเอียดในหลายๆ ด้าน และที่สำคัญคือได้เพิ่ม ตาราง Factor F</t>
  </si>
  <si>
    <t>งานก่อสร้างชลประทานเพิ่มเติมเข้ามาด้วย จึงมีความจำเป็นอย่างยิ่ง ที่จะต้อง</t>
  </si>
  <si>
    <t>ปรับปรุงตารางคำนวณนี้ให้ทันสมัยตามด้วย ซึ่งมีรายละเอียดการปรับปรุง</t>
  </si>
  <si>
    <t>ดังนี้</t>
  </si>
  <si>
    <t>1.เพิ่มเติมตาราง Factor F งานก่อสร้างชลประทาน</t>
  </si>
  <si>
    <t>2.เพิ่มรายการคำนวณเทียบหาอัตราส่วนเพื่อหาค่า Factor F</t>
  </si>
  <si>
    <t>กรณีค่างานต้นทุนอยู่ระหว่างช่วงของค่างานต้นทุนที่กำหนด โดยแสดง</t>
  </si>
  <si>
    <t>3.ปรับปรุงตาราง Factor F ของค่างานทุกประเภทให้สวยงาม</t>
  </si>
  <si>
    <t>Factor F_2555</t>
  </si>
  <si>
    <t>ธราเทพ  ทองเบ้า</t>
  </si>
  <si>
    <t>ang_nobita@hotmail.com</t>
  </si>
  <si>
    <t>t.tharatep@gmail.com</t>
  </si>
  <si>
    <t>ปรับปรุงเมื่อ 25 เมษายน 2555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</si>
  <si>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</si>
  <si>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</si>
  <si>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หมายเหตุ</t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</si>
  <si>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</si>
  <si>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</si>
  <si>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>ค่างาน(ทุน)
ล้านบาท</t>
  </si>
  <si>
    <r>
      <t xml:space="preserve"> </t>
    </r>
    <r>
      <rPr>
        <sz val="14"/>
        <rFont val="Calibri"/>
        <family val="2"/>
      </rPr>
      <t>≤</t>
    </r>
    <r>
      <rPr>
        <sz val="14"/>
        <rFont val="BrowalliaUPC"/>
        <family val="2"/>
      </rPr>
      <t xml:space="preserve">     5</t>
    </r>
  </si>
  <si>
    <r>
      <rPr>
        <sz val="14"/>
        <rFont val="BrowalliaUPC"/>
        <family val="2"/>
      </rPr>
      <t>&gt;</t>
    </r>
    <r>
      <rPr>
        <sz val="14"/>
        <rFont val="BrowalliaUPC"/>
        <family val="2"/>
      </rPr>
      <t xml:space="preserve">  500</t>
    </r>
  </si>
  <si>
    <r>
      <t xml:space="preserve">   </t>
    </r>
    <r>
      <rPr>
        <sz val="14"/>
        <rFont val="Calibri"/>
        <family val="2"/>
      </rPr>
      <t>≤</t>
    </r>
    <r>
      <rPr>
        <sz val="14"/>
        <rFont val="BrowalliaUPC"/>
        <family val="2"/>
      </rPr>
      <t xml:space="preserve">      5</t>
    </r>
  </si>
  <si>
    <r>
      <t xml:space="preserve"> </t>
    </r>
    <r>
      <rPr>
        <sz val="14"/>
        <rFont val="Calibri"/>
        <family val="2"/>
      </rPr>
      <t>≥</t>
    </r>
    <r>
      <rPr>
        <sz val="14"/>
        <rFont val="BrowalliaUPC"/>
        <family val="2"/>
      </rPr>
      <t xml:space="preserve">   200</t>
    </r>
  </si>
  <si>
    <t>5. ทางโทรศัพท์ 084-7508118  โทรได้เฉพาะวันและเวลาราชการ</t>
  </si>
  <si>
    <t>ทั้งนี้ สืบเนื่องมาจากมติ ครม. เมื่อวันที่ 13 มีนาคม  2555 เรื่องเกณฑ์การ</t>
  </si>
  <si>
    <t>คำนวณราคากลางงานก่อสร้างของทางราชการ ฉบับใหม่ ได้ปรับปรุงและ</t>
  </si>
  <si>
    <t>สูตร วิธีการคำนวณ ซึ่งสามารถพิมพ์เป็นเอกสาร ประกอบรายละเอียด</t>
  </si>
  <si>
    <t>การคำนวณราคากลางฯ ได้ด้วย</t>
  </si>
  <si>
    <t>ใช้งานสะดวกยิ่งขึ้น และสามารถพิมพ์เป็นเอกสาร ประกอบรายละเอียด</t>
  </si>
  <si>
    <t>การคำนวณราคากลางฯ ได้เช่นกัน</t>
  </si>
  <si>
    <t>ขอขอบคุณพี่อภิสิทธิ์ มากสุวรรณ(ช่างถึก) ผู้จัดทำตารางคำนวณนี้</t>
  </si>
  <si>
    <t>ขอขอบคุณโยธาไทยที่ให้การสนับสนุนการจัดทำในครั้งนี้ และที่สำคัญ</t>
  </si>
  <si>
    <t>http://www.facebook.com/yotathai.net</t>
  </si>
  <si>
    <t xml:space="preserve">ที่ให้โอกาสในการปรับปรุงและร่วมสร้างสรรค์สิ่งดีๆ เสมอมา </t>
  </si>
  <si>
    <t>ผมมีความยินดีเป็นอย่างยิ่งที่ได้รับการประสานจากผู้จัดทำตารางการคำนวณ</t>
  </si>
  <si>
    <t>เลือกประเภทงานที่ต้องการแสดงรายละเอียดการคำนวณ</t>
  </si>
  <si>
    <r>
      <t>Factor F ดังที่แสดงไว้</t>
    </r>
    <r>
      <rPr>
        <sz val="14"/>
        <color indexed="10"/>
        <rFont val="Browallia New"/>
        <family val="2"/>
      </rPr>
      <t xml:space="preserve"> </t>
    </r>
    <r>
      <rPr>
        <u val="single"/>
        <sz val="14"/>
        <rFont val="Browallia New"/>
        <family val="2"/>
      </rPr>
      <t xml:space="preserve">ส่วนค่าของ Factor F ที่ตรงตามค่างานต้นทุนที่กำหนดไว้แล้ว </t>
    </r>
    <r>
      <rPr>
        <u val="single"/>
        <sz val="14"/>
        <color indexed="10"/>
        <rFont val="Browallia New"/>
        <family val="2"/>
      </rPr>
      <t>ไม่ต้องใช้</t>
    </r>
  </si>
  <si>
    <t xml:space="preserve"> โดย ค่างานต้นทุน A </t>
  </si>
  <si>
    <t>ที่ต้องการหาค่า Factor F (ค่างานต้นทุน A) อยู่</t>
  </si>
  <si>
    <t>ค่างานต้นทุนตัวต่ำกว่า A</t>
  </si>
  <si>
    <t>ค่างานต้นทุนตัวสูงกว่า A</t>
  </si>
  <si>
    <t>บาท…A</t>
  </si>
  <si>
    <t>บาท…B</t>
  </si>
  <si>
    <t>บาท…C</t>
  </si>
  <si>
    <t>…D</t>
  </si>
  <si>
    <t>…E</t>
  </si>
  <si>
    <t>Factor F ของค่างานต้นทุน B</t>
  </si>
  <si>
    <t>Factor F ของค่างานต้นทุน C</t>
  </si>
  <si>
    <t>ตารางคำนวณหาค่า Factor F งานก่อสร้างชลประทาน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</si>
</sst>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.0000_);_(* \(#,##0.0000\);_(* &quot;-&quot;??_);_(@_)"/>
    <numFmt numFmtId="189" formatCode="_-* #,##0.0000_-;\-* #,##0.0000_-;_-* &quot;-&quot;??_-;_-@_-"/>
    <numFmt numFmtId="190" formatCode="0.0000"/>
    <numFmt numFmtId="191" formatCode="_(* #,##0.000000_);_(* \(#,##0.000000\);_(* &quot;-&quot;??_);_(@_)"/>
    <numFmt numFmtId="192" formatCode="_-* #,##0.00000_-;\-* #,##0.00000_-;_-* &quot;-&quot;??_-;_-@_-"/>
    <numFmt numFmtId="193" formatCode="_(* #,##0_);_(* \(#,##0\);_(* &quot;-&quot;??_);_(@_)"/>
  </numFmts>
  <fonts count="83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4"/>
      <name val="BrowalliaUPC"/>
      <family val="2"/>
    </font>
    <font>
      <b/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sz val="14"/>
      <color indexed="9"/>
      <name val="BrowalliaUPC"/>
      <family val="2"/>
    </font>
    <font>
      <sz val="14"/>
      <color indexed="12"/>
      <name val="BrowalliaUPC"/>
      <family val="2"/>
    </font>
    <font>
      <b/>
      <sz val="14"/>
      <color indexed="10"/>
      <name val="BrowalliaUPC"/>
      <family val="2"/>
    </font>
    <font>
      <sz val="14"/>
      <color indexed="43"/>
      <name val="BrowalliaUPC"/>
      <family val="2"/>
    </font>
    <font>
      <b/>
      <sz val="14"/>
      <color indexed="9"/>
      <name val="BrowalliaUPC"/>
      <family val="2"/>
    </font>
    <font>
      <b/>
      <sz val="14"/>
      <color indexed="45"/>
      <name val="BrowalliaUPC"/>
      <family val="2"/>
    </font>
    <font>
      <b/>
      <sz val="16"/>
      <color indexed="8"/>
      <name val="Browallia New"/>
      <family val="2"/>
    </font>
    <font>
      <sz val="11"/>
      <name val="BrowalliaUPC"/>
      <family val="2"/>
    </font>
    <font>
      <sz val="11"/>
      <name val="Times New Roman"/>
      <family val="1"/>
    </font>
    <font>
      <b/>
      <sz val="14"/>
      <color indexed="8"/>
      <name val="Browallia New"/>
      <family val="2"/>
    </font>
    <font>
      <sz val="14"/>
      <color indexed="8"/>
      <name val="Browallia New"/>
      <family val="2"/>
    </font>
    <font>
      <b/>
      <sz val="14"/>
      <color indexed="12"/>
      <name val="Browallia New"/>
      <family val="2"/>
    </font>
    <font>
      <sz val="14"/>
      <name val="Browallia New"/>
      <family val="2"/>
    </font>
    <font>
      <b/>
      <sz val="14"/>
      <color indexed="10"/>
      <name val="Browallia New"/>
      <family val="2"/>
    </font>
    <font>
      <sz val="14"/>
      <color indexed="10"/>
      <name val="Browallia New"/>
      <family val="2"/>
    </font>
    <font>
      <b/>
      <u val="single"/>
      <sz val="14"/>
      <color indexed="8"/>
      <name val="Browallia New"/>
      <family val="2"/>
    </font>
    <font>
      <sz val="14"/>
      <color indexed="26"/>
      <name val="BrowalliaUPC"/>
      <family val="2"/>
    </font>
    <font>
      <b/>
      <i/>
      <sz val="14"/>
      <color indexed="22"/>
      <name val="BrowalliaUPC"/>
      <family val="2"/>
    </font>
    <font>
      <sz val="10"/>
      <color indexed="22"/>
      <name val="Arial"/>
      <family val="2"/>
    </font>
    <font>
      <b/>
      <sz val="16"/>
      <name val="BrowalliaUPC"/>
      <family val="2"/>
    </font>
    <font>
      <b/>
      <sz val="16"/>
      <name val="Browallia New"/>
      <family val="2"/>
    </font>
    <font>
      <sz val="14"/>
      <name val="Calibri"/>
      <family val="2"/>
    </font>
    <font>
      <sz val="12"/>
      <name val="Calibri"/>
      <family val="2"/>
    </font>
    <font>
      <sz val="19.6"/>
      <name val="BrowalliaUPC"/>
      <family val="2"/>
    </font>
    <font>
      <sz val="14"/>
      <color indexed="17"/>
      <name val="Browallia New"/>
      <family val="2"/>
    </font>
    <font>
      <u val="single"/>
      <sz val="14"/>
      <name val="Browallia New"/>
      <family val="2"/>
    </font>
    <font>
      <u val="single"/>
      <sz val="14"/>
      <color indexed="10"/>
      <name val="Browallia New"/>
      <family val="2"/>
    </font>
    <font>
      <b/>
      <i/>
      <sz val="14"/>
      <color indexed="17"/>
      <name val="Browall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BrowalliaUPC"/>
      <family val="2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  <font>
      <b/>
      <sz val="14"/>
      <color rgb="FFFF0000"/>
      <name val="Browallia New"/>
      <family val="2"/>
    </font>
    <font>
      <b/>
      <u val="single"/>
      <sz val="14"/>
      <color theme="1"/>
      <name val="Browallia New"/>
      <family val="2"/>
    </font>
    <font>
      <sz val="14"/>
      <color theme="2"/>
      <name val="BrowalliaUPC"/>
      <family val="2"/>
    </font>
    <font>
      <b/>
      <i/>
      <sz val="14"/>
      <color theme="0" tint="-0.04997999966144562"/>
      <name val="BrowalliaUPC"/>
      <family val="2"/>
    </font>
    <font>
      <sz val="14"/>
      <color rgb="FF0000FF"/>
      <name val="BrowalliaUPC"/>
      <family val="2"/>
    </font>
    <font>
      <sz val="14"/>
      <color rgb="FFFF0000"/>
      <name val="Browallia New"/>
      <family val="2"/>
    </font>
    <font>
      <sz val="14"/>
      <color rgb="FF008000"/>
      <name val="Browallia New"/>
      <family val="2"/>
    </font>
    <font>
      <sz val="10"/>
      <color theme="0" tint="-0.04997999966144562"/>
      <name val="Arial"/>
      <family val="2"/>
    </font>
    <font>
      <b/>
      <sz val="16"/>
      <color theme="1"/>
      <name val="Browallia New"/>
      <family val="2"/>
    </font>
    <font>
      <b/>
      <i/>
      <sz val="14"/>
      <color rgb="FF008000"/>
      <name val="Browallia Ne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rgb="FF00B050"/>
      </left>
      <right/>
      <top/>
      <bottom/>
    </border>
    <border>
      <left/>
      <right style="thin">
        <color rgb="FF00B050"/>
      </right>
      <top/>
      <bottom/>
    </border>
    <border>
      <left style="thin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>
        <color rgb="FFFF0000"/>
      </top>
      <bottom style="thin">
        <color rgb="FFFF000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188" fontId="4" fillId="33" borderId="0" xfId="37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91" fontId="4" fillId="34" borderId="0" xfId="0" applyNumberFormat="1" applyFont="1" applyFill="1" applyAlignment="1">
      <alignment/>
    </xf>
    <xf numFmtId="188" fontId="4" fillId="34" borderId="0" xfId="37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188" fontId="4" fillId="33" borderId="11" xfId="37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5" borderId="0" xfId="33" applyFill="1" applyBorder="1" applyAlignment="1" applyProtection="1">
      <alignment horizontal="center"/>
      <protection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 applyProtection="1">
      <alignment/>
      <protection hidden="1" locked="0"/>
    </xf>
    <xf numFmtId="0" fontId="8" fillId="34" borderId="0" xfId="0" applyFont="1" applyFill="1" applyAlignment="1" applyProtection="1">
      <alignment horizontal="right"/>
      <protection hidden="1" locked="0"/>
    </xf>
    <xf numFmtId="192" fontId="8" fillId="34" borderId="0" xfId="0" applyNumberFormat="1" applyFont="1" applyFill="1" applyAlignment="1" applyProtection="1">
      <alignment horizontal="right"/>
      <protection hidden="1" locked="0"/>
    </xf>
    <xf numFmtId="0" fontId="8" fillId="34" borderId="0" xfId="0" applyFont="1" applyFill="1" applyAlignment="1" applyProtection="1" quotePrefix="1">
      <alignment horizontal="right"/>
      <protection hidden="1" locked="0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 applyProtection="1">
      <alignment horizontal="center"/>
      <protection hidden="1" locked="0"/>
    </xf>
    <xf numFmtId="193" fontId="8" fillId="34" borderId="0" xfId="37" applyNumberFormat="1" applyFont="1" applyFill="1" applyAlignment="1" applyProtection="1">
      <alignment horizontal="right"/>
      <protection hidden="1" locked="0"/>
    </xf>
    <xf numFmtId="193" fontId="8" fillId="34" borderId="0" xfId="37" applyNumberFormat="1" applyFont="1" applyFill="1" applyAlignment="1" applyProtection="1" quotePrefix="1">
      <alignment horizontal="right"/>
      <protection hidden="1" locked="0"/>
    </xf>
    <xf numFmtId="0" fontId="4" fillId="0" borderId="0" xfId="0" applyFont="1" applyFill="1" applyAlignment="1">
      <alignment/>
    </xf>
    <xf numFmtId="188" fontId="4" fillId="0" borderId="0" xfId="37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4" fillId="0" borderId="0" xfId="37" applyNumberFormat="1" applyFont="1" applyFill="1" applyBorder="1" applyAlignment="1">
      <alignment/>
    </xf>
    <xf numFmtId="0" fontId="3" fillId="0" borderId="0" xfId="33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88" fontId="4" fillId="0" borderId="11" xfId="37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 horizontal="right"/>
      <protection hidden="1" locked="0"/>
    </xf>
    <xf numFmtId="192" fontId="4" fillId="0" borderId="0" xfId="0" applyNumberFormat="1" applyFont="1" applyFill="1" applyAlignment="1" applyProtection="1">
      <alignment horizontal="right"/>
      <protection hidden="1" locked="0"/>
    </xf>
    <xf numFmtId="0" fontId="4" fillId="0" borderId="0" xfId="0" applyFont="1" applyFill="1" applyAlignment="1" applyProtection="1" quotePrefix="1">
      <alignment horizontal="right"/>
      <protection hidden="1" locked="0"/>
    </xf>
    <xf numFmtId="0" fontId="4" fillId="0" borderId="0" xfId="0" applyFont="1" applyFill="1" applyAlignment="1" applyProtection="1">
      <alignment horizontal="center"/>
      <protection hidden="1" locked="0"/>
    </xf>
    <xf numFmtId="193" fontId="4" fillId="0" borderId="0" xfId="37" applyNumberFormat="1" applyFont="1" applyFill="1" applyAlignment="1" applyProtection="1">
      <alignment horizontal="right"/>
      <protection hidden="1" locked="0"/>
    </xf>
    <xf numFmtId="193" fontId="4" fillId="0" borderId="0" xfId="37" applyNumberFormat="1" applyFont="1" applyFill="1" applyAlignment="1" applyProtection="1" quotePrefix="1">
      <alignment horizontal="right"/>
      <protection hidden="1" locked="0"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 quotePrefix="1">
      <alignment/>
      <protection hidden="1" locked="0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 applyProtection="1" quotePrefix="1">
      <alignment horizontal="left"/>
      <protection hidden="1" locked="0"/>
    </xf>
    <xf numFmtId="0" fontId="4" fillId="0" borderId="0" xfId="0" applyFont="1" applyFill="1" applyAlignment="1" quotePrefix="1">
      <alignment horizontal="right"/>
    </xf>
    <xf numFmtId="188" fontId="4" fillId="0" borderId="0" xfId="37" applyNumberFormat="1" applyFont="1" applyFill="1" applyAlignment="1" applyProtection="1">
      <alignment/>
      <protection hidden="1" locked="0"/>
    </xf>
    <xf numFmtId="188" fontId="4" fillId="0" borderId="0" xfId="37" applyNumberFormat="1" applyFont="1" applyFill="1" applyAlignment="1" applyProtection="1">
      <alignment horizontal="center"/>
      <protection hidden="1" locked="0"/>
    </xf>
    <xf numFmtId="0" fontId="4" fillId="34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/>
      <protection hidden="1" locked="0"/>
    </xf>
    <xf numFmtId="0" fontId="9" fillId="0" borderId="0" xfId="0" applyFont="1" applyFill="1" applyAlignment="1" applyProtection="1">
      <alignment horizontal="right"/>
      <protection hidden="1" locked="0"/>
    </xf>
    <xf numFmtId="0" fontId="9" fillId="0" borderId="0" xfId="0" applyFont="1" applyFill="1" applyAlignment="1">
      <alignment horizontal="center"/>
    </xf>
    <xf numFmtId="192" fontId="9" fillId="0" borderId="0" xfId="0" applyNumberFormat="1" applyFont="1" applyFill="1" applyAlignment="1" applyProtection="1">
      <alignment horizontal="right"/>
      <protection hidden="1" locked="0"/>
    </xf>
    <xf numFmtId="0" fontId="9" fillId="0" borderId="0" xfId="0" applyFont="1" applyFill="1" applyAlignment="1" applyProtection="1" quotePrefix="1">
      <alignment horizontal="right"/>
      <protection hidden="1" locked="0"/>
    </xf>
    <xf numFmtId="0" fontId="9" fillId="0" borderId="0" xfId="0" applyFont="1" applyFill="1" applyAlignment="1" applyProtection="1">
      <alignment horizontal="center"/>
      <protection hidden="1" locked="0"/>
    </xf>
    <xf numFmtId="193" fontId="9" fillId="0" borderId="0" xfId="37" applyNumberFormat="1" applyFont="1" applyFill="1" applyAlignment="1" applyProtection="1">
      <alignment horizontal="right"/>
      <protection hidden="1" locked="0"/>
    </xf>
    <xf numFmtId="193" fontId="9" fillId="0" borderId="0" xfId="37" applyNumberFormat="1" applyFont="1" applyFill="1" applyAlignment="1" applyProtection="1" quotePrefix="1">
      <alignment horizontal="right"/>
      <protection hidden="1" locked="0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right"/>
    </xf>
    <xf numFmtId="0" fontId="11" fillId="37" borderId="0" xfId="0" applyFont="1" applyFill="1" applyAlignment="1">
      <alignment/>
    </xf>
    <xf numFmtId="0" fontId="11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13" fillId="38" borderId="0" xfId="0" applyFont="1" applyFill="1" applyAlignment="1">
      <alignment/>
    </xf>
    <xf numFmtId="43" fontId="70" fillId="34" borderId="0" xfId="0" applyNumberFormat="1" applyFont="1" applyFill="1" applyAlignment="1">
      <alignment/>
    </xf>
    <xf numFmtId="188" fontId="4" fillId="35" borderId="0" xfId="3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43" fontId="20" fillId="0" borderId="0" xfId="37" applyNumberFormat="1" applyFont="1" applyAlignment="1">
      <alignment/>
    </xf>
    <xf numFmtId="0" fontId="71" fillId="0" borderId="0" xfId="0" applyFont="1" applyAlignment="1">
      <alignment horizontal="left"/>
    </xf>
    <xf numFmtId="187" fontId="20" fillId="0" borderId="0" xfId="37" applyFont="1" applyFill="1" applyAlignment="1" applyProtection="1">
      <alignment horizontal="right"/>
      <protection hidden="1"/>
    </xf>
    <xf numFmtId="190" fontId="20" fillId="0" borderId="0" xfId="0" applyNumberFormat="1" applyFont="1" applyAlignment="1">
      <alignment/>
    </xf>
    <xf numFmtId="190" fontId="73" fillId="0" borderId="0" xfId="0" applyNumberFormat="1" applyFont="1" applyAlignment="1">
      <alignment horizontal="left"/>
    </xf>
    <xf numFmtId="0" fontId="72" fillId="0" borderId="0" xfId="0" applyFont="1" applyAlignment="1">
      <alignment horizontal="left"/>
    </xf>
    <xf numFmtId="0" fontId="6" fillId="6" borderId="0" xfId="37" applyNumberFormat="1" applyFont="1" applyFill="1" applyBorder="1" applyAlignment="1" applyProtection="1">
      <alignment horizontal="center"/>
      <protection locked="0"/>
    </xf>
    <xf numFmtId="0" fontId="6" fillId="7" borderId="0" xfId="37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74" fillId="0" borderId="0" xfId="0" applyFont="1" applyAlignment="1">
      <alignment/>
    </xf>
    <xf numFmtId="0" fontId="11" fillId="39" borderId="0" xfId="0" applyFont="1" applyFill="1" applyAlignment="1">
      <alignment/>
    </xf>
    <xf numFmtId="0" fontId="75" fillId="39" borderId="0" xfId="0" applyFont="1" applyFill="1" applyAlignment="1">
      <alignment/>
    </xf>
    <xf numFmtId="0" fontId="76" fillId="39" borderId="0" xfId="0" applyFont="1" applyFill="1" applyAlignment="1">
      <alignment/>
    </xf>
    <xf numFmtId="188" fontId="5" fillId="40" borderId="12" xfId="37" applyNumberFormat="1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right"/>
    </xf>
    <xf numFmtId="188" fontId="4" fillId="41" borderId="14" xfId="37" applyNumberFormat="1" applyFont="1" applyFill="1" applyBorder="1" applyAlignment="1">
      <alignment/>
    </xf>
    <xf numFmtId="0" fontId="4" fillId="41" borderId="14" xfId="0" applyFont="1" applyFill="1" applyBorder="1" applyAlignment="1">
      <alignment/>
    </xf>
    <xf numFmtId="188" fontId="4" fillId="41" borderId="14" xfId="47" applyNumberFormat="1" applyFont="1" applyFill="1" applyBorder="1" applyAlignment="1">
      <alignment/>
    </xf>
    <xf numFmtId="0" fontId="4" fillId="41" borderId="14" xfId="47" applyNumberFormat="1" applyFont="1" applyFill="1" applyBorder="1" applyAlignment="1">
      <alignment/>
    </xf>
    <xf numFmtId="189" fontId="4" fillId="41" borderId="14" xfId="0" applyNumberFormat="1" applyFont="1" applyFill="1" applyBorder="1" applyAlignment="1">
      <alignment/>
    </xf>
    <xf numFmtId="188" fontId="9" fillId="41" borderId="15" xfId="37" applyNumberFormat="1" applyFont="1" applyFill="1" applyBorder="1" applyAlignment="1">
      <alignment/>
    </xf>
    <xf numFmtId="0" fontId="4" fillId="41" borderId="16" xfId="0" applyFont="1" applyFill="1" applyBorder="1" applyAlignment="1">
      <alignment/>
    </xf>
    <xf numFmtId="188" fontId="4" fillId="41" borderId="17" xfId="37" applyNumberFormat="1" applyFont="1" applyFill="1" applyBorder="1" applyAlignment="1">
      <alignment/>
    </xf>
    <xf numFmtId="0" fontId="4" fillId="41" borderId="17" xfId="0" applyFont="1" applyFill="1" applyBorder="1" applyAlignment="1">
      <alignment/>
    </xf>
    <xf numFmtId="188" fontId="4" fillId="41" borderId="17" xfId="47" applyNumberFormat="1" applyFont="1" applyFill="1" applyBorder="1" applyAlignment="1">
      <alignment/>
    </xf>
    <xf numFmtId="0" fontId="4" fillId="41" borderId="17" xfId="47" applyNumberFormat="1" applyFont="1" applyFill="1" applyBorder="1" applyAlignment="1">
      <alignment/>
    </xf>
    <xf numFmtId="189" fontId="4" fillId="41" borderId="17" xfId="0" applyNumberFormat="1" applyFont="1" applyFill="1" applyBorder="1" applyAlignment="1">
      <alignment/>
    </xf>
    <xf numFmtId="188" fontId="9" fillId="41" borderId="18" xfId="37" applyNumberFormat="1" applyFont="1" applyFill="1" applyBorder="1" applyAlignment="1">
      <alignment/>
    </xf>
    <xf numFmtId="0" fontId="4" fillId="41" borderId="19" xfId="0" applyFont="1" applyFill="1" applyBorder="1" applyAlignment="1">
      <alignment horizontal="right"/>
    </xf>
    <xf numFmtId="188" fontId="4" fillId="41" borderId="20" xfId="37" applyNumberFormat="1" applyFont="1" applyFill="1" applyBorder="1" applyAlignment="1">
      <alignment/>
    </xf>
    <xf numFmtId="0" fontId="4" fillId="41" borderId="20" xfId="0" applyFont="1" applyFill="1" applyBorder="1" applyAlignment="1">
      <alignment/>
    </xf>
    <xf numFmtId="188" fontId="4" fillId="41" borderId="20" xfId="47" applyNumberFormat="1" applyFont="1" applyFill="1" applyBorder="1" applyAlignment="1">
      <alignment/>
    </xf>
    <xf numFmtId="0" fontId="4" fillId="41" borderId="20" xfId="47" applyNumberFormat="1" applyFont="1" applyFill="1" applyBorder="1" applyAlignment="1">
      <alignment/>
    </xf>
    <xf numFmtId="189" fontId="4" fillId="41" borderId="20" xfId="0" applyNumberFormat="1" applyFont="1" applyFill="1" applyBorder="1" applyAlignment="1">
      <alignment/>
    </xf>
    <xf numFmtId="188" fontId="9" fillId="41" borderId="21" xfId="37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3" fillId="33" borderId="0" xfId="33" applyFill="1" applyBorder="1" applyAlignment="1" applyProtection="1">
      <alignment horizontal="center"/>
      <protection/>
    </xf>
    <xf numFmtId="0" fontId="4" fillId="40" borderId="22" xfId="0" applyFont="1" applyFill="1" applyBorder="1" applyAlignment="1">
      <alignment/>
    </xf>
    <xf numFmtId="0" fontId="4" fillId="40" borderId="12" xfId="0" applyFont="1" applyFill="1" applyBorder="1" applyAlignment="1">
      <alignment/>
    </xf>
    <xf numFmtId="188" fontId="9" fillId="41" borderId="14" xfId="37" applyNumberFormat="1" applyFont="1" applyFill="1" applyBorder="1" applyAlignment="1">
      <alignment/>
    </xf>
    <xf numFmtId="188" fontId="6" fillId="41" borderId="14" xfId="37" applyNumberFormat="1" applyFont="1" applyFill="1" applyBorder="1" applyAlignment="1">
      <alignment/>
    </xf>
    <xf numFmtId="193" fontId="4" fillId="41" borderId="14" xfId="37" applyNumberFormat="1" applyFont="1" applyFill="1" applyBorder="1" applyAlignment="1">
      <alignment/>
    </xf>
    <xf numFmtId="190" fontId="4" fillId="41" borderId="14" xfId="0" applyNumberFormat="1" applyFont="1" applyFill="1" applyBorder="1" applyAlignment="1">
      <alignment/>
    </xf>
    <xf numFmtId="190" fontId="4" fillId="41" borderId="15" xfId="0" applyNumberFormat="1" applyFont="1" applyFill="1" applyBorder="1" applyAlignment="1">
      <alignment/>
    </xf>
    <xf numFmtId="0" fontId="4" fillId="41" borderId="16" xfId="0" applyFont="1" applyFill="1" applyBorder="1" applyAlignment="1">
      <alignment horizontal="right"/>
    </xf>
    <xf numFmtId="188" fontId="9" fillId="41" borderId="17" xfId="37" applyNumberFormat="1" applyFont="1" applyFill="1" applyBorder="1" applyAlignment="1">
      <alignment/>
    </xf>
    <xf numFmtId="188" fontId="6" fillId="41" borderId="17" xfId="37" applyNumberFormat="1" applyFont="1" applyFill="1" applyBorder="1" applyAlignment="1">
      <alignment/>
    </xf>
    <xf numFmtId="193" fontId="4" fillId="41" borderId="17" xfId="37" applyNumberFormat="1" applyFont="1" applyFill="1" applyBorder="1" applyAlignment="1">
      <alignment/>
    </xf>
    <xf numFmtId="190" fontId="4" fillId="41" borderId="17" xfId="0" applyNumberFormat="1" applyFont="1" applyFill="1" applyBorder="1" applyAlignment="1">
      <alignment/>
    </xf>
    <xf numFmtId="190" fontId="4" fillId="41" borderId="18" xfId="0" applyNumberFormat="1" applyFont="1" applyFill="1" applyBorder="1" applyAlignment="1">
      <alignment/>
    </xf>
    <xf numFmtId="188" fontId="9" fillId="41" borderId="20" xfId="37" applyNumberFormat="1" applyFont="1" applyFill="1" applyBorder="1" applyAlignment="1">
      <alignment/>
    </xf>
    <xf numFmtId="188" fontId="6" fillId="41" borderId="20" xfId="37" applyNumberFormat="1" applyFont="1" applyFill="1" applyBorder="1" applyAlignment="1">
      <alignment/>
    </xf>
    <xf numFmtId="193" fontId="4" fillId="41" borderId="20" xfId="37" applyNumberFormat="1" applyFont="1" applyFill="1" applyBorder="1" applyAlignment="1">
      <alignment/>
    </xf>
    <xf numFmtId="190" fontId="4" fillId="41" borderId="20" xfId="0" applyNumberFormat="1" applyFont="1" applyFill="1" applyBorder="1" applyAlignment="1">
      <alignment/>
    </xf>
    <xf numFmtId="190" fontId="4" fillId="41" borderId="21" xfId="0" applyNumberFormat="1" applyFont="1" applyFill="1" applyBorder="1" applyAlignment="1">
      <alignment/>
    </xf>
    <xf numFmtId="0" fontId="4" fillId="41" borderId="13" xfId="0" applyFont="1" applyFill="1" applyBorder="1" applyAlignment="1">
      <alignment horizontal="center"/>
    </xf>
    <xf numFmtId="188" fontId="77" fillId="41" borderId="14" xfId="37" applyNumberFormat="1" applyFont="1" applyFill="1" applyBorder="1" applyAlignment="1">
      <alignment/>
    </xf>
    <xf numFmtId="0" fontId="4" fillId="41" borderId="16" xfId="0" applyFont="1" applyFill="1" applyBorder="1" applyAlignment="1">
      <alignment horizontal="center"/>
    </xf>
    <xf numFmtId="188" fontId="77" fillId="41" borderId="17" xfId="37" applyNumberFormat="1" applyFont="1" applyFill="1" applyBorder="1" applyAlignment="1">
      <alignment/>
    </xf>
    <xf numFmtId="188" fontId="6" fillId="41" borderId="17" xfId="37" applyNumberFormat="1" applyFont="1" applyFill="1" applyBorder="1" applyAlignment="1">
      <alignment/>
    </xf>
    <xf numFmtId="3" fontId="4" fillId="41" borderId="16" xfId="0" applyNumberFormat="1" applyFont="1" applyFill="1" applyBorder="1" applyAlignment="1">
      <alignment horizontal="center"/>
    </xf>
    <xf numFmtId="0" fontId="4" fillId="41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8" fontId="5" fillId="40" borderId="23" xfId="37" applyNumberFormat="1" applyFont="1" applyFill="1" applyBorder="1" applyAlignment="1">
      <alignment horizontal="center" vertical="center" wrapText="1"/>
    </xf>
    <xf numFmtId="0" fontId="5" fillId="40" borderId="23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 applyProtection="1">
      <alignment horizontal="center"/>
      <protection locked="0"/>
    </xf>
    <xf numFmtId="0" fontId="4" fillId="40" borderId="0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75" fillId="39" borderId="0" xfId="0" applyFont="1" applyFill="1" applyAlignment="1">
      <alignment horizontal="right"/>
    </xf>
    <xf numFmtId="0" fontId="4" fillId="41" borderId="19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33" applyFill="1" applyBorder="1" applyAlignment="1" applyProtection="1">
      <alignment horizontal="center"/>
      <protection/>
    </xf>
    <xf numFmtId="0" fontId="4" fillId="42" borderId="0" xfId="0" applyFont="1" applyFill="1" applyAlignment="1">
      <alignment/>
    </xf>
    <xf numFmtId="0" fontId="4" fillId="42" borderId="0" xfId="0" applyFont="1" applyFill="1" applyAlignment="1">
      <alignment horizontal="center"/>
    </xf>
    <xf numFmtId="0" fontId="71" fillId="0" borderId="24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25" xfId="0" applyFont="1" applyBorder="1" applyAlignment="1">
      <alignment/>
    </xf>
    <xf numFmtId="0" fontId="71" fillId="0" borderId="26" xfId="0" applyFont="1" applyBorder="1" applyAlignment="1">
      <alignment/>
    </xf>
    <xf numFmtId="0" fontId="71" fillId="0" borderId="27" xfId="0" applyFont="1" applyBorder="1" applyAlignment="1">
      <alignment/>
    </xf>
    <xf numFmtId="0" fontId="71" fillId="0" borderId="28" xfId="0" applyFont="1" applyBorder="1" applyAlignment="1">
      <alignment/>
    </xf>
    <xf numFmtId="0" fontId="78" fillId="0" borderId="29" xfId="0" applyFont="1" applyFill="1" applyBorder="1" applyAlignment="1">
      <alignment/>
    </xf>
    <xf numFmtId="0" fontId="78" fillId="0" borderId="30" xfId="0" applyFont="1" applyFill="1" applyBorder="1" applyAlignment="1">
      <alignment/>
    </xf>
    <xf numFmtId="0" fontId="79" fillId="0" borderId="24" xfId="0" applyFont="1" applyFill="1" applyBorder="1" applyAlignment="1">
      <alignment/>
    </xf>
    <xf numFmtId="0" fontId="33" fillId="0" borderId="0" xfId="0" applyFont="1" applyAlignment="1">
      <alignment/>
    </xf>
    <xf numFmtId="0" fontId="75" fillId="39" borderId="0" xfId="0" applyFont="1" applyFill="1" applyAlignment="1">
      <alignment horizontal="center"/>
    </xf>
    <xf numFmtId="0" fontId="80" fillId="39" borderId="0" xfId="0" applyFont="1" applyFill="1" applyAlignment="1">
      <alignment horizontal="center"/>
    </xf>
    <xf numFmtId="0" fontId="6" fillId="38" borderId="0" xfId="0" applyFont="1" applyFill="1" applyAlignment="1">
      <alignment horizontal="right"/>
    </xf>
    <xf numFmtId="0" fontId="3" fillId="39" borderId="0" xfId="33" applyFont="1" applyFill="1" applyAlignment="1" applyProtection="1">
      <alignment horizontal="center"/>
      <protection/>
    </xf>
    <xf numFmtId="0" fontId="3" fillId="0" borderId="0" xfId="33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7" fillId="7" borderId="0" xfId="0" applyFont="1" applyFill="1" applyBorder="1" applyAlignment="1">
      <alignment horizontal="center"/>
    </xf>
    <xf numFmtId="0" fontId="5" fillId="40" borderId="31" xfId="0" applyFont="1" applyFill="1" applyBorder="1" applyAlignment="1">
      <alignment horizontal="center" vertical="center" wrapText="1"/>
    </xf>
    <xf numFmtId="0" fontId="5" fillId="40" borderId="32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5" fillId="40" borderId="33" xfId="0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 horizontal="center" vertical="center"/>
    </xf>
    <xf numFmtId="187" fontId="7" fillId="13" borderId="0" xfId="3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7" fontId="6" fillId="41" borderId="0" xfId="37" applyFont="1" applyFill="1" applyBorder="1" applyAlignment="1" applyProtection="1">
      <alignment/>
      <protection locked="0"/>
    </xf>
    <xf numFmtId="188" fontId="9" fillId="7" borderId="0" xfId="37" applyNumberFormat="1" applyFont="1" applyFill="1" applyBorder="1" applyAlignment="1">
      <alignment/>
    </xf>
    <xf numFmtId="188" fontId="4" fillId="35" borderId="0" xfId="37" applyNumberFormat="1" applyFont="1" applyFill="1" applyBorder="1" applyAlignment="1">
      <alignment/>
    </xf>
    <xf numFmtId="0" fontId="4" fillId="40" borderId="22" xfId="0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5" fillId="40" borderId="22" xfId="0" applyFont="1" applyFill="1" applyBorder="1" applyAlignment="1">
      <alignment horizontal="center" wrapText="1"/>
    </xf>
    <xf numFmtId="0" fontId="5" fillId="40" borderId="12" xfId="0" applyFont="1" applyFill="1" applyBorder="1" applyAlignment="1">
      <alignment horizontal="center"/>
    </xf>
    <xf numFmtId="0" fontId="4" fillId="40" borderId="22" xfId="0" applyFont="1" applyFill="1" applyBorder="1" applyAlignment="1">
      <alignment wrapText="1"/>
    </xf>
    <xf numFmtId="0" fontId="4" fillId="40" borderId="12" xfId="0" applyFont="1" applyFill="1" applyBorder="1" applyAlignment="1">
      <alignment wrapText="1"/>
    </xf>
    <xf numFmtId="0" fontId="5" fillId="40" borderId="33" xfId="0" applyFont="1" applyFill="1" applyBorder="1" applyAlignment="1">
      <alignment horizontal="center" wrapText="1"/>
    </xf>
    <xf numFmtId="0" fontId="5" fillId="40" borderId="34" xfId="0" applyFont="1" applyFill="1" applyBorder="1" applyAlignment="1">
      <alignment horizontal="center"/>
    </xf>
    <xf numFmtId="188" fontId="9" fillId="7" borderId="0" xfId="37" applyNumberFormat="1" applyFont="1" applyFill="1" applyBorder="1" applyAlignment="1">
      <alignment/>
    </xf>
    <xf numFmtId="0" fontId="4" fillId="43" borderId="0" xfId="0" applyFont="1" applyFill="1" applyBorder="1" applyAlignment="1">
      <alignment horizontal="center"/>
    </xf>
    <xf numFmtId="188" fontId="4" fillId="40" borderId="22" xfId="37" applyNumberFormat="1" applyFont="1" applyFill="1" applyBorder="1" applyAlignment="1">
      <alignment/>
    </xf>
    <xf numFmtId="188" fontId="4" fillId="40" borderId="12" xfId="37" applyNumberFormat="1" applyFont="1" applyFill="1" applyBorder="1" applyAlignment="1">
      <alignment/>
    </xf>
    <xf numFmtId="188" fontId="4" fillId="40" borderId="22" xfId="37" applyNumberFormat="1" applyFont="1" applyFill="1" applyBorder="1" applyAlignment="1">
      <alignment wrapText="1"/>
    </xf>
    <xf numFmtId="0" fontId="3" fillId="0" borderId="0" xfId="33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8" fillId="7" borderId="0" xfId="0" applyFont="1" applyFill="1" applyBorder="1" applyAlignment="1">
      <alignment horizontal="center"/>
    </xf>
    <xf numFmtId="0" fontId="5" fillId="40" borderId="35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5" fillId="40" borderId="36" xfId="0" applyFont="1" applyFill="1" applyBorder="1" applyAlignment="1">
      <alignment horizontal="center" vertical="center"/>
    </xf>
    <xf numFmtId="0" fontId="3" fillId="33" borderId="0" xfId="33" applyFont="1" applyFill="1" applyBorder="1" applyAlignment="1" applyProtection="1">
      <alignment horizontal="center"/>
      <protection/>
    </xf>
    <xf numFmtId="0" fontId="8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8" fillId="13" borderId="37" xfId="0" applyFont="1" applyFill="1" applyBorder="1" applyAlignment="1" applyProtection="1">
      <alignment horizontal="center"/>
      <protection locked="0"/>
    </xf>
    <xf numFmtId="0" fontId="82" fillId="44" borderId="38" xfId="0" applyFont="1" applyFill="1" applyBorder="1" applyAlignment="1">
      <alignment horizontal="center"/>
    </xf>
    <xf numFmtId="0" fontId="82" fillId="44" borderId="39" xfId="0" applyFont="1" applyFill="1" applyBorder="1" applyAlignment="1">
      <alignment horizontal="center"/>
    </xf>
    <xf numFmtId="0" fontId="82" fillId="44" borderId="4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25</xdr:row>
      <xdr:rowOff>190500</xdr:rowOff>
    </xdr:from>
    <xdr:to>
      <xdr:col>14</xdr:col>
      <xdr:colOff>200025</xdr:colOff>
      <xdr:row>27</xdr:row>
      <xdr:rowOff>209550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7086600" y="66484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9525</xdr:rowOff>
    </xdr:from>
    <xdr:to>
      <xdr:col>4</xdr:col>
      <xdr:colOff>628650</xdr:colOff>
      <xdr:row>4</xdr:row>
      <xdr:rowOff>180975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504950" y="5143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247650</xdr:rowOff>
    </xdr:from>
    <xdr:to>
      <xdr:col>4</xdr:col>
      <xdr:colOff>619125</xdr:colOff>
      <xdr:row>4</xdr:row>
      <xdr:rowOff>123825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552575" y="45720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247650</xdr:rowOff>
    </xdr:from>
    <xdr:to>
      <xdr:col>4</xdr:col>
      <xdr:colOff>619125</xdr:colOff>
      <xdr:row>4</xdr:row>
      <xdr:rowOff>123825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514475" y="45720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hyperlink" Target="http://www.facebook.com/yotathai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hyperlink" Target="http://www.yotathai.net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S34"/>
  <sheetViews>
    <sheetView showGridLines="0" showRowColHeaders="0" showOutlineSymbols="0" zoomScalePageLayoutView="0" workbookViewId="0" topLeftCell="A1">
      <selection activeCell="K11" sqref="K11"/>
    </sheetView>
  </sheetViews>
  <sheetFormatPr defaultColWidth="9.140625" defaultRowHeight="12.75"/>
  <cols>
    <col min="1" max="1" width="9.140625" style="65" customWidth="1"/>
    <col min="2" max="2" width="6.00390625" style="65" customWidth="1"/>
    <col min="3" max="10" width="9.140625" style="65" customWidth="1"/>
    <col min="11" max="11" width="3.57421875" style="65" customWidth="1"/>
    <col min="12" max="12" width="12.00390625" style="65" bestFit="1" customWidth="1"/>
    <col min="13" max="16384" width="9.140625" style="65" customWidth="1"/>
  </cols>
  <sheetData>
    <row r="1" spans="1:19" ht="20.25">
      <c r="A1" s="66"/>
      <c r="B1" s="66"/>
      <c r="C1" s="66"/>
      <c r="D1" s="66"/>
      <c r="E1" s="66"/>
      <c r="F1" s="66"/>
      <c r="G1" s="66"/>
      <c r="H1" s="66"/>
      <c r="I1" s="66"/>
      <c r="J1" s="66"/>
      <c r="L1" s="89"/>
      <c r="M1" s="89"/>
      <c r="N1" s="89"/>
      <c r="O1" s="89"/>
      <c r="P1" s="89"/>
      <c r="Q1" s="89"/>
      <c r="R1" s="89"/>
      <c r="S1" s="89"/>
    </row>
    <row r="2" spans="1:19" ht="21">
      <c r="A2" s="67" t="s">
        <v>74</v>
      </c>
      <c r="B2" s="68"/>
      <c r="C2" s="66" t="s">
        <v>69</v>
      </c>
      <c r="D2" s="66"/>
      <c r="E2" s="66"/>
      <c r="F2" s="66"/>
      <c r="G2" s="66"/>
      <c r="H2" s="66"/>
      <c r="I2" s="66"/>
      <c r="J2" s="66"/>
      <c r="L2" s="91" t="s">
        <v>129</v>
      </c>
      <c r="M2" s="90" t="s">
        <v>165</v>
      </c>
      <c r="N2" s="90"/>
      <c r="O2" s="90"/>
      <c r="P2" s="90"/>
      <c r="Q2" s="90"/>
      <c r="R2" s="90"/>
      <c r="S2" s="90"/>
    </row>
    <row r="3" spans="1:19" ht="20.25">
      <c r="A3" s="66"/>
      <c r="B3" s="66"/>
      <c r="C3" s="66" t="s">
        <v>85</v>
      </c>
      <c r="D3" s="66"/>
      <c r="E3" s="66"/>
      <c r="F3" s="66"/>
      <c r="G3" s="66"/>
      <c r="H3" s="66"/>
      <c r="I3" s="66"/>
      <c r="J3" s="66"/>
      <c r="L3" s="89"/>
      <c r="M3" s="90" t="s">
        <v>130</v>
      </c>
      <c r="N3" s="90"/>
      <c r="O3" s="90"/>
      <c r="P3" s="90"/>
      <c r="Q3" s="90"/>
      <c r="R3" s="90"/>
      <c r="S3" s="90"/>
    </row>
    <row r="4" spans="1:19" ht="20.25">
      <c r="A4" s="66"/>
      <c r="B4" s="66"/>
      <c r="C4" s="66" t="s">
        <v>70</v>
      </c>
      <c r="D4" s="66"/>
      <c r="E4" s="66"/>
      <c r="F4" s="66"/>
      <c r="G4" s="66"/>
      <c r="H4" s="66"/>
      <c r="I4" s="66"/>
      <c r="J4" s="66"/>
      <c r="L4" s="89"/>
      <c r="M4" s="90" t="s">
        <v>155</v>
      </c>
      <c r="N4" s="90"/>
      <c r="O4" s="90"/>
      <c r="P4" s="90"/>
      <c r="Q4" s="90"/>
      <c r="R4" s="90"/>
      <c r="S4" s="90"/>
    </row>
    <row r="5" spans="1:19" ht="20.25">
      <c r="A5" s="66"/>
      <c r="B5" s="66"/>
      <c r="C5" s="66" t="s">
        <v>71</v>
      </c>
      <c r="D5" s="66"/>
      <c r="E5" s="66"/>
      <c r="F5" s="66"/>
      <c r="G5" s="66"/>
      <c r="H5" s="66"/>
      <c r="I5" s="66"/>
      <c r="J5" s="66"/>
      <c r="L5" s="89"/>
      <c r="M5" s="90" t="s">
        <v>156</v>
      </c>
      <c r="N5" s="90"/>
      <c r="O5" s="90"/>
      <c r="P5" s="90"/>
      <c r="Q5" s="90"/>
      <c r="R5" s="90"/>
      <c r="S5" s="90"/>
    </row>
    <row r="6" spans="1:19" ht="20.25">
      <c r="A6" s="66"/>
      <c r="B6" s="66"/>
      <c r="C6" s="66" t="s">
        <v>83</v>
      </c>
      <c r="D6" s="66"/>
      <c r="E6" s="66"/>
      <c r="F6" s="66"/>
      <c r="G6" s="66"/>
      <c r="H6" s="66"/>
      <c r="I6" s="66"/>
      <c r="J6" s="66"/>
      <c r="L6" s="89"/>
      <c r="M6" s="90" t="s">
        <v>131</v>
      </c>
      <c r="N6" s="90"/>
      <c r="O6" s="90"/>
      <c r="P6" s="90"/>
      <c r="Q6" s="90"/>
      <c r="R6" s="90"/>
      <c r="S6" s="90"/>
    </row>
    <row r="7" spans="1:19" ht="20.25">
      <c r="A7" s="66"/>
      <c r="B7" s="66"/>
      <c r="C7" s="66"/>
      <c r="D7" s="66"/>
      <c r="E7" s="66"/>
      <c r="F7" s="66"/>
      <c r="G7" s="66"/>
      <c r="H7" s="66"/>
      <c r="I7" s="66"/>
      <c r="J7" s="66"/>
      <c r="L7" s="89"/>
      <c r="M7" s="90" t="s">
        <v>132</v>
      </c>
      <c r="N7" s="90"/>
      <c r="O7" s="90"/>
      <c r="P7" s="90"/>
      <c r="Q7" s="90"/>
      <c r="R7" s="90"/>
      <c r="S7" s="90"/>
    </row>
    <row r="8" spans="1:19" ht="20.25">
      <c r="A8" s="66"/>
      <c r="B8" s="66"/>
      <c r="C8" s="69" t="s">
        <v>86</v>
      </c>
      <c r="D8" s="69"/>
      <c r="E8" s="69"/>
      <c r="F8" s="69"/>
      <c r="G8" s="69"/>
      <c r="H8" s="69"/>
      <c r="I8" s="69"/>
      <c r="J8" s="69"/>
      <c r="L8" s="89"/>
      <c r="M8" s="90" t="s">
        <v>133</v>
      </c>
      <c r="N8" s="90"/>
      <c r="O8" s="90"/>
      <c r="P8" s="90"/>
      <c r="Q8" s="90"/>
      <c r="R8" s="90"/>
      <c r="S8" s="90"/>
    </row>
    <row r="9" spans="1:19" ht="20.25">
      <c r="A9" s="66"/>
      <c r="B9" s="66"/>
      <c r="C9" s="69" t="s">
        <v>91</v>
      </c>
      <c r="D9" s="69"/>
      <c r="E9" s="69"/>
      <c r="F9" s="69"/>
      <c r="G9" s="69"/>
      <c r="H9" s="69"/>
      <c r="I9" s="69"/>
      <c r="J9" s="69"/>
      <c r="L9" s="89"/>
      <c r="M9" s="90" t="s">
        <v>134</v>
      </c>
      <c r="N9" s="90"/>
      <c r="O9" s="90"/>
      <c r="P9" s="90"/>
      <c r="Q9" s="90"/>
      <c r="R9" s="90"/>
      <c r="S9" s="90"/>
    </row>
    <row r="10" spans="1:19" ht="20.25">
      <c r="A10" s="66"/>
      <c r="B10" s="66"/>
      <c r="C10" s="69" t="s">
        <v>87</v>
      </c>
      <c r="D10" s="69"/>
      <c r="E10" s="69"/>
      <c r="F10" s="69"/>
      <c r="G10" s="69"/>
      <c r="H10" s="69"/>
      <c r="I10" s="69"/>
      <c r="J10" s="69"/>
      <c r="L10" s="89"/>
      <c r="M10" s="90" t="s">
        <v>111</v>
      </c>
      <c r="N10" s="90" t="s">
        <v>135</v>
      </c>
      <c r="O10" s="90"/>
      <c r="P10" s="90"/>
      <c r="Q10" s="90"/>
      <c r="R10" s="90"/>
      <c r="S10" s="90"/>
    </row>
    <row r="11" spans="1:19" ht="20.25">
      <c r="A11" s="66"/>
      <c r="B11" s="66"/>
      <c r="C11" s="69" t="s">
        <v>88</v>
      </c>
      <c r="D11" s="69"/>
      <c r="E11" s="69"/>
      <c r="F11" s="69"/>
      <c r="G11" s="69"/>
      <c r="H11" s="69"/>
      <c r="I11" s="69"/>
      <c r="J11" s="69"/>
      <c r="L11" s="89"/>
      <c r="M11" s="90"/>
      <c r="N11" s="90" t="s">
        <v>136</v>
      </c>
      <c r="O11" s="90"/>
      <c r="P11" s="90"/>
      <c r="Q11" s="90"/>
      <c r="R11" s="90"/>
      <c r="S11" s="90"/>
    </row>
    <row r="12" spans="1:19" ht="20.25">
      <c r="A12" s="66"/>
      <c r="B12" s="66"/>
      <c r="C12" s="69" t="s">
        <v>92</v>
      </c>
      <c r="D12" s="69"/>
      <c r="E12" s="69"/>
      <c r="F12" s="69"/>
      <c r="G12" s="69"/>
      <c r="H12" s="69"/>
      <c r="I12" s="69"/>
      <c r="J12" s="69"/>
      <c r="L12" s="89"/>
      <c r="M12" s="90" t="s">
        <v>137</v>
      </c>
      <c r="N12" s="90"/>
      <c r="O12" s="90"/>
      <c r="P12" s="90"/>
      <c r="Q12" s="90"/>
      <c r="R12" s="90"/>
      <c r="S12" s="90"/>
    </row>
    <row r="13" spans="1:19" ht="20.25">
      <c r="A13" s="66"/>
      <c r="B13" s="66"/>
      <c r="C13" s="69" t="s">
        <v>89</v>
      </c>
      <c r="D13" s="69"/>
      <c r="E13" s="69"/>
      <c r="F13" s="69"/>
      <c r="G13" s="69"/>
      <c r="H13" s="69"/>
      <c r="I13" s="69"/>
      <c r="J13" s="69"/>
      <c r="L13" s="89"/>
      <c r="M13" s="90" t="s">
        <v>157</v>
      </c>
      <c r="N13" s="90"/>
      <c r="O13" s="90"/>
      <c r="P13" s="90"/>
      <c r="Q13" s="90"/>
      <c r="R13" s="90"/>
      <c r="S13" s="90"/>
    </row>
    <row r="14" spans="1:19" ht="21">
      <c r="A14" s="66"/>
      <c r="B14" s="66"/>
      <c r="C14" s="69" t="s">
        <v>90</v>
      </c>
      <c r="D14" s="69"/>
      <c r="E14" s="69"/>
      <c r="F14" s="69"/>
      <c r="G14" s="69"/>
      <c r="H14" s="69"/>
      <c r="I14" s="69"/>
      <c r="J14" s="69"/>
      <c r="L14" s="89"/>
      <c r="M14" s="90" t="s">
        <v>158</v>
      </c>
      <c r="N14" s="90"/>
      <c r="O14" s="90"/>
      <c r="P14" s="90"/>
      <c r="Q14" s="90"/>
      <c r="R14" s="90"/>
      <c r="S14" s="90"/>
    </row>
    <row r="15" spans="1:19" ht="20.25">
      <c r="A15" s="66"/>
      <c r="B15" s="66"/>
      <c r="C15" s="66"/>
      <c r="D15" s="66"/>
      <c r="E15" s="66"/>
      <c r="F15" s="66"/>
      <c r="G15" s="66"/>
      <c r="H15" s="66"/>
      <c r="I15" s="66"/>
      <c r="J15" s="66"/>
      <c r="L15" s="89"/>
      <c r="M15" s="90"/>
      <c r="N15" s="90" t="s">
        <v>138</v>
      </c>
      <c r="O15" s="90"/>
      <c r="P15" s="90"/>
      <c r="Q15" s="90"/>
      <c r="R15" s="90"/>
      <c r="S15" s="90"/>
    </row>
    <row r="16" spans="1:19" ht="20.25">
      <c r="A16" s="66"/>
      <c r="B16" s="66"/>
      <c r="C16" s="66" t="s">
        <v>72</v>
      </c>
      <c r="D16" s="66"/>
      <c r="E16" s="66"/>
      <c r="F16" s="66"/>
      <c r="G16" s="66"/>
      <c r="H16" s="66"/>
      <c r="I16" s="66"/>
      <c r="J16" s="66"/>
      <c r="L16" s="89"/>
      <c r="M16" s="90" t="s">
        <v>159</v>
      </c>
      <c r="N16" s="90"/>
      <c r="O16" s="90"/>
      <c r="P16" s="90"/>
      <c r="Q16" s="90"/>
      <c r="R16" s="90"/>
      <c r="S16" s="90"/>
    </row>
    <row r="17" spans="1:19" ht="20.25">
      <c r="A17" s="66"/>
      <c r="B17" s="66"/>
      <c r="C17" s="66" t="s">
        <v>73</v>
      </c>
      <c r="D17" s="66"/>
      <c r="E17" s="66"/>
      <c r="F17" s="66"/>
      <c r="G17" s="66"/>
      <c r="H17" s="66"/>
      <c r="I17" s="66"/>
      <c r="J17" s="66"/>
      <c r="L17" s="89"/>
      <c r="M17" s="90" t="s">
        <v>160</v>
      </c>
      <c r="N17" s="90"/>
      <c r="O17" s="90"/>
      <c r="P17" s="90"/>
      <c r="Q17" s="90"/>
      <c r="R17" s="90"/>
      <c r="S17" s="90"/>
    </row>
    <row r="18" spans="1:19" ht="20.25">
      <c r="A18" s="66"/>
      <c r="B18" s="66"/>
      <c r="C18" s="66" t="s">
        <v>75</v>
      </c>
      <c r="D18" s="66"/>
      <c r="E18" s="66"/>
      <c r="F18" s="66"/>
      <c r="G18" s="66"/>
      <c r="H18" s="66"/>
      <c r="I18" s="66"/>
      <c r="J18" s="66"/>
      <c r="L18" s="89"/>
      <c r="M18" s="89"/>
      <c r="N18" s="89"/>
      <c r="O18" s="89"/>
      <c r="P18" s="89"/>
      <c r="Q18" s="89"/>
      <c r="R18" s="89"/>
      <c r="S18" s="89"/>
    </row>
    <row r="19" spans="1:19" ht="20.25">
      <c r="A19" s="66"/>
      <c r="B19" s="66"/>
      <c r="C19" s="66" t="s">
        <v>76</v>
      </c>
      <c r="D19" s="66"/>
      <c r="E19" s="66"/>
      <c r="F19" s="66"/>
      <c r="G19" s="66"/>
      <c r="H19" s="66"/>
      <c r="I19" s="66"/>
      <c r="J19" s="66"/>
      <c r="L19" s="89"/>
      <c r="M19" s="90" t="s">
        <v>162</v>
      </c>
      <c r="N19" s="90"/>
      <c r="O19" s="90"/>
      <c r="P19" s="90"/>
      <c r="Q19" s="90"/>
      <c r="R19" s="90"/>
      <c r="S19" s="89"/>
    </row>
    <row r="20" spans="1:19" ht="21">
      <c r="A20" s="66"/>
      <c r="B20" s="66"/>
      <c r="C20" s="70" t="s">
        <v>77</v>
      </c>
      <c r="D20" s="66" t="s">
        <v>78</v>
      </c>
      <c r="E20" s="66"/>
      <c r="F20" s="66"/>
      <c r="G20" s="66"/>
      <c r="H20" s="66"/>
      <c r="I20" s="66"/>
      <c r="J20" s="66"/>
      <c r="L20" s="89"/>
      <c r="M20" s="90" t="s">
        <v>161</v>
      </c>
      <c r="N20" s="90"/>
      <c r="O20" s="90"/>
      <c r="P20" s="90"/>
      <c r="Q20" s="90"/>
      <c r="R20" s="90"/>
      <c r="S20" s="89"/>
    </row>
    <row r="21" spans="1:19" ht="20.25">
      <c r="A21" s="66"/>
      <c r="B21" s="66"/>
      <c r="C21" s="66"/>
      <c r="D21" s="66"/>
      <c r="E21" s="66"/>
      <c r="F21" s="66"/>
      <c r="G21" s="66"/>
      <c r="H21" s="66"/>
      <c r="I21" s="66"/>
      <c r="J21" s="66"/>
      <c r="L21" s="89"/>
      <c r="M21" s="90" t="s">
        <v>164</v>
      </c>
      <c r="N21" s="90"/>
      <c r="O21" s="90"/>
      <c r="P21" s="90"/>
      <c r="Q21" s="90"/>
      <c r="R21" s="90"/>
      <c r="S21" s="89"/>
    </row>
    <row r="22" spans="1:19" ht="20.25">
      <c r="A22" s="66"/>
      <c r="B22" s="66"/>
      <c r="C22" s="66" t="s">
        <v>81</v>
      </c>
      <c r="D22" s="66"/>
      <c r="E22" s="66"/>
      <c r="F22" s="66"/>
      <c r="G22" s="66"/>
      <c r="H22" s="66"/>
      <c r="I22" s="66"/>
      <c r="J22" s="66"/>
      <c r="L22" s="89"/>
      <c r="M22" s="90"/>
      <c r="N22" s="90"/>
      <c r="O22" s="90"/>
      <c r="P22" s="89"/>
      <c r="Q22" s="89"/>
      <c r="R22" s="89"/>
      <c r="S22" s="89"/>
    </row>
    <row r="23" spans="1:19" ht="20.25">
      <c r="A23" s="66"/>
      <c r="B23" s="66"/>
      <c r="C23" s="66"/>
      <c r="D23" s="66" t="s">
        <v>79</v>
      </c>
      <c r="E23" s="66"/>
      <c r="F23" s="66"/>
      <c r="G23" s="66"/>
      <c r="H23" s="66"/>
      <c r="I23" s="66"/>
      <c r="J23" s="66"/>
      <c r="L23" s="89"/>
      <c r="M23" s="89"/>
      <c r="N23" s="89"/>
      <c r="O23" s="89"/>
      <c r="P23" s="165" t="s">
        <v>140</v>
      </c>
      <c r="Q23" s="165"/>
      <c r="R23" s="165"/>
      <c r="S23" s="89"/>
    </row>
    <row r="24" spans="1:19" ht="20.25">
      <c r="A24" s="66"/>
      <c r="B24" s="66"/>
      <c r="C24" s="66"/>
      <c r="D24" s="66" t="s">
        <v>80</v>
      </c>
      <c r="E24" s="66"/>
      <c r="F24" s="66"/>
      <c r="G24" s="66"/>
      <c r="H24" s="66"/>
      <c r="I24" s="66"/>
      <c r="J24" s="66"/>
      <c r="L24" s="89"/>
      <c r="M24" s="89"/>
      <c r="N24" s="89"/>
      <c r="O24" s="89"/>
      <c r="P24" s="166" t="s">
        <v>141</v>
      </c>
      <c r="Q24" s="166"/>
      <c r="R24" s="166"/>
      <c r="S24" s="89"/>
    </row>
    <row r="25" spans="1:19" ht="20.25">
      <c r="A25" s="66"/>
      <c r="B25" s="66"/>
      <c r="C25" s="66"/>
      <c r="D25" s="66" t="s">
        <v>94</v>
      </c>
      <c r="E25" s="66"/>
      <c r="F25" s="66"/>
      <c r="G25" s="66"/>
      <c r="H25" s="66"/>
      <c r="I25" s="66"/>
      <c r="J25" s="66"/>
      <c r="L25" s="89"/>
      <c r="M25" s="89"/>
      <c r="N25" s="89"/>
      <c r="O25" s="89"/>
      <c r="P25" s="166" t="s">
        <v>142</v>
      </c>
      <c r="Q25" s="166"/>
      <c r="R25" s="166"/>
      <c r="S25" s="89"/>
    </row>
    <row r="26" spans="1:19" ht="20.25">
      <c r="A26" s="66"/>
      <c r="B26" s="66"/>
      <c r="C26" s="66"/>
      <c r="D26" s="66" t="s">
        <v>154</v>
      </c>
      <c r="E26" s="66"/>
      <c r="F26" s="66"/>
      <c r="G26" s="66"/>
      <c r="H26" s="66"/>
      <c r="I26" s="66"/>
      <c r="J26" s="66"/>
      <c r="L26" s="89"/>
      <c r="M26" s="89"/>
      <c r="N26" s="89"/>
      <c r="O26" s="89"/>
      <c r="P26" s="89"/>
      <c r="Q26" s="89"/>
      <c r="R26" s="89"/>
      <c r="S26" s="89"/>
    </row>
    <row r="27" spans="1:19" ht="20.25">
      <c r="A27" s="66"/>
      <c r="B27" s="66"/>
      <c r="C27" s="66"/>
      <c r="D27" s="66" t="s">
        <v>82</v>
      </c>
      <c r="E27" s="66"/>
      <c r="F27" s="66"/>
      <c r="G27" s="66"/>
      <c r="H27" s="66"/>
      <c r="I27" s="66"/>
      <c r="J27" s="66"/>
      <c r="L27" s="89"/>
      <c r="M27" s="89"/>
      <c r="N27" s="89"/>
      <c r="O27" s="89"/>
      <c r="P27" s="89"/>
      <c r="Q27" s="89"/>
      <c r="R27" s="89"/>
      <c r="S27" s="89"/>
    </row>
    <row r="28" spans="1:19" ht="20.25">
      <c r="A28" s="66"/>
      <c r="B28" s="66"/>
      <c r="C28" s="66"/>
      <c r="D28" s="66"/>
      <c r="E28" s="66"/>
      <c r="F28" s="66"/>
      <c r="G28" s="66"/>
      <c r="H28" s="66"/>
      <c r="I28" s="66"/>
      <c r="J28" s="66"/>
      <c r="L28" s="89"/>
      <c r="M28" s="89"/>
      <c r="N28" s="89"/>
      <c r="O28" s="89"/>
      <c r="P28" s="89"/>
      <c r="Q28" s="89"/>
      <c r="R28" s="89"/>
      <c r="S28" s="89"/>
    </row>
    <row r="29" spans="1:19" ht="20.25">
      <c r="A29" s="66"/>
      <c r="B29" s="66"/>
      <c r="C29" s="66"/>
      <c r="D29" s="66"/>
      <c r="E29" s="66" t="s">
        <v>93</v>
      </c>
      <c r="F29" s="66"/>
      <c r="G29" s="66"/>
      <c r="H29" s="66"/>
      <c r="I29" s="66"/>
      <c r="J29" s="66"/>
      <c r="L29" s="168" t="s">
        <v>29</v>
      </c>
      <c r="M29" s="168"/>
      <c r="N29" s="168"/>
      <c r="O29" s="168"/>
      <c r="P29" s="168"/>
      <c r="Q29" s="89"/>
      <c r="R29" s="89"/>
      <c r="S29" s="89"/>
    </row>
    <row r="30" spans="1:19" ht="20.25">
      <c r="A30" s="66"/>
      <c r="B30" s="66"/>
      <c r="C30" s="66"/>
      <c r="D30" s="66"/>
      <c r="E30" s="66"/>
      <c r="F30" s="66"/>
      <c r="G30" s="66"/>
      <c r="H30" s="66"/>
      <c r="I30" s="66"/>
      <c r="J30" s="66"/>
      <c r="L30" s="168" t="s">
        <v>163</v>
      </c>
      <c r="M30" s="168"/>
      <c r="N30" s="168"/>
      <c r="O30" s="168"/>
      <c r="P30" s="168"/>
      <c r="Q30" s="89"/>
      <c r="R30" s="89"/>
      <c r="S30" s="89"/>
    </row>
    <row r="31" spans="1:19" ht="20.25">
      <c r="A31" s="66"/>
      <c r="B31" s="66"/>
      <c r="C31" s="66"/>
      <c r="D31" s="66"/>
      <c r="E31" s="66"/>
      <c r="F31" s="66"/>
      <c r="G31" s="66"/>
      <c r="H31" s="66"/>
      <c r="I31" s="66"/>
      <c r="J31" s="66"/>
      <c r="L31" s="89"/>
      <c r="M31" s="89"/>
      <c r="N31" s="89"/>
      <c r="O31" s="89"/>
      <c r="P31" s="89"/>
      <c r="Q31" s="89"/>
      <c r="R31" s="89"/>
      <c r="S31" s="89"/>
    </row>
    <row r="32" spans="1:19" ht="20.25">
      <c r="A32" s="66"/>
      <c r="B32" s="66"/>
      <c r="C32" s="66"/>
      <c r="D32" s="66"/>
      <c r="E32" s="66"/>
      <c r="F32" s="66"/>
      <c r="G32" s="66"/>
      <c r="H32" s="66"/>
      <c r="I32" s="66"/>
      <c r="J32" s="66"/>
      <c r="L32" s="89"/>
      <c r="M32" s="89"/>
      <c r="N32" s="89"/>
      <c r="O32" s="89"/>
      <c r="P32" s="89"/>
      <c r="Q32" s="89"/>
      <c r="R32" s="89"/>
      <c r="S32" s="89"/>
    </row>
    <row r="33" spans="1:19" ht="20.25">
      <c r="A33" s="167" t="s">
        <v>84</v>
      </c>
      <c r="B33" s="167"/>
      <c r="C33" s="167"/>
      <c r="D33" s="167"/>
      <c r="E33" s="167"/>
      <c r="F33" s="167"/>
      <c r="G33" s="167"/>
      <c r="H33" s="167"/>
      <c r="I33" s="167"/>
      <c r="J33" s="167"/>
      <c r="L33" s="89"/>
      <c r="M33" s="89"/>
      <c r="N33" s="89"/>
      <c r="O33" s="89"/>
      <c r="P33" s="89"/>
      <c r="Q33" s="89"/>
      <c r="R33" s="89"/>
      <c r="S33" s="89"/>
    </row>
    <row r="34" spans="1:19" ht="20.25">
      <c r="A34" s="66"/>
      <c r="B34" s="66"/>
      <c r="C34" s="66"/>
      <c r="D34" s="66"/>
      <c r="E34" s="66"/>
      <c r="F34" s="66"/>
      <c r="G34" s="66"/>
      <c r="H34" s="66"/>
      <c r="I34" s="66"/>
      <c r="J34" s="66"/>
      <c r="L34" s="89"/>
      <c r="M34" s="89"/>
      <c r="N34" s="89"/>
      <c r="O34" s="89"/>
      <c r="P34" s="89"/>
      <c r="Q34" s="89"/>
      <c r="R34" s="89"/>
      <c r="S34" s="148" t="s">
        <v>143</v>
      </c>
    </row>
  </sheetData>
  <sheetProtection password="A3B0" sheet="1" objects="1" scenarios="1"/>
  <mergeCells count="6">
    <mergeCell ref="P23:R23"/>
    <mergeCell ref="P24:R24"/>
    <mergeCell ref="A33:J33"/>
    <mergeCell ref="P25:R25"/>
    <mergeCell ref="L30:P30"/>
    <mergeCell ref="L29:P29"/>
  </mergeCells>
  <hyperlinks>
    <hyperlink ref="L29" r:id="rId1" display="www.yotathai.net"/>
    <hyperlink ref="L30" r:id="rId2" display="http://www.facebook.com/yotathai.net"/>
  </hyperlink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B1:V41"/>
  <sheetViews>
    <sheetView showGridLines="0" showRowColHeaders="0" showOutlineSymbols="0" zoomScalePageLayoutView="0" workbookViewId="0" topLeftCell="A27">
      <selection activeCell="K12" sqref="K12"/>
    </sheetView>
  </sheetViews>
  <sheetFormatPr defaultColWidth="9.140625" defaultRowHeight="12.75"/>
  <cols>
    <col min="1" max="2" width="9.140625" style="3" customWidth="1"/>
    <col min="3" max="3" width="3.7109375" style="3" customWidth="1"/>
    <col min="4" max="4" width="12.7109375" style="3" customWidth="1"/>
    <col min="5" max="5" width="12.7109375" style="6" customWidth="1"/>
    <col min="6" max="10" width="10.8515625" style="3" hidden="1" customWidth="1"/>
    <col min="11" max="13" width="12.7109375" style="6" customWidth="1"/>
    <col min="14" max="15" width="12.7109375" style="3" customWidth="1"/>
    <col min="16" max="16" width="13.57421875" style="3" customWidth="1"/>
    <col min="17" max="17" width="4.28125" style="3" customWidth="1"/>
    <col min="18" max="18" width="9.140625" style="16" hidden="1" customWidth="1"/>
    <col min="19" max="19" width="13.57421875" style="16" hidden="1" customWidth="1"/>
    <col min="20" max="20" width="14.140625" style="17" hidden="1" customWidth="1"/>
    <col min="21" max="21" width="11.421875" style="16" hidden="1" customWidth="1"/>
    <col min="22" max="22" width="9.140625" style="16" customWidth="1"/>
    <col min="23" max="16384" width="9.140625" style="3" customWidth="1"/>
  </cols>
  <sheetData>
    <row r="1" spans="4:16" ht="16.5" customHeight="1" thickBot="1">
      <c r="D1" s="63"/>
      <c r="P1" s="64" t="s">
        <v>139</v>
      </c>
    </row>
    <row r="2" spans="2:16" ht="23.25">
      <c r="B2" s="153"/>
      <c r="C2" s="153"/>
      <c r="D2" s="9"/>
      <c r="E2" s="9"/>
      <c r="F2" s="10"/>
      <c r="G2" s="10"/>
      <c r="H2" s="10"/>
      <c r="I2" s="10"/>
      <c r="J2" s="10"/>
      <c r="K2" s="171" t="s">
        <v>25</v>
      </c>
      <c r="L2" s="171"/>
      <c r="M2" s="171"/>
      <c r="N2" s="171"/>
      <c r="O2" s="171"/>
      <c r="P2" s="171"/>
    </row>
    <row r="3" spans="2:16" ht="8.25" customHeight="1">
      <c r="B3" s="153"/>
      <c r="C3" s="153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21" ht="20.25">
      <c r="B4" s="153"/>
      <c r="C4" s="153"/>
      <c r="D4" s="1"/>
      <c r="E4" s="2"/>
      <c r="F4" s="7"/>
      <c r="G4" s="7"/>
      <c r="H4" s="7"/>
      <c r="I4" s="7"/>
      <c r="J4" s="7"/>
      <c r="K4" s="72"/>
      <c r="L4" s="184" t="s">
        <v>4</v>
      </c>
      <c r="M4" s="184"/>
      <c r="N4" s="182">
        <v>3000000</v>
      </c>
      <c r="O4" s="182"/>
      <c r="P4" s="150" t="s">
        <v>5</v>
      </c>
      <c r="S4" s="18"/>
      <c r="T4" s="19"/>
      <c r="U4" s="18"/>
    </row>
    <row r="5" spans="2:21" ht="20.25">
      <c r="B5" s="153"/>
      <c r="C5" s="153"/>
      <c r="D5" s="1"/>
      <c r="E5" s="116"/>
      <c r="F5" s="15"/>
      <c r="G5" s="15"/>
      <c r="H5" s="15"/>
      <c r="I5" s="15"/>
      <c r="J5" s="15"/>
      <c r="K5" s="15"/>
      <c r="L5" s="184" t="s">
        <v>13</v>
      </c>
      <c r="M5" s="184"/>
      <c r="N5" s="183">
        <f>IF(N4=0,0,IF(N4&lt;=1000000,P16,IF(N4=500000000,P38,IF(N4&gt;500000000,P39,U11))))</f>
        <v>1.2698</v>
      </c>
      <c r="O5" s="183"/>
      <c r="P5" s="150"/>
      <c r="S5" s="18"/>
      <c r="T5" s="19"/>
      <c r="U5" s="18" t="s">
        <v>11</v>
      </c>
    </row>
    <row r="6" spans="2:21" ht="21" customHeight="1">
      <c r="B6" s="153"/>
      <c r="C6" s="153"/>
      <c r="D6" s="169" t="s">
        <v>29</v>
      </c>
      <c r="E6" s="170"/>
      <c r="F6" s="8"/>
      <c r="G6" s="8"/>
      <c r="H6" s="8"/>
      <c r="I6" s="8"/>
      <c r="J6" s="8"/>
      <c r="K6" s="8"/>
      <c r="L6" s="72" t="s">
        <v>28</v>
      </c>
      <c r="M6" s="72"/>
      <c r="N6" s="179">
        <f>ROUND((N5*N4),2)</f>
        <v>3809400</v>
      </c>
      <c r="O6" s="179"/>
      <c r="P6" s="150" t="s">
        <v>5</v>
      </c>
      <c r="S6" s="18" t="s">
        <v>6</v>
      </c>
      <c r="T6" s="20">
        <f>N4/1000000</f>
        <v>3</v>
      </c>
      <c r="U6" s="18"/>
    </row>
    <row r="7" spans="2:21" ht="9" customHeight="1" thickBot="1">
      <c r="B7" s="153"/>
      <c r="C7" s="153"/>
      <c r="D7" s="1"/>
      <c r="E7" s="2"/>
      <c r="F7" s="12"/>
      <c r="G7" s="12"/>
      <c r="H7" s="12"/>
      <c r="I7" s="12"/>
      <c r="J7" s="12"/>
      <c r="K7" s="72"/>
      <c r="L7" s="72"/>
      <c r="M7" s="72"/>
      <c r="N7" s="115"/>
      <c r="O7" s="115"/>
      <c r="P7" s="7"/>
      <c r="S7" s="18" t="s">
        <v>7</v>
      </c>
      <c r="T7" s="19">
        <f>VLOOKUP(T6,D17:D38,1)</f>
        <v>2</v>
      </c>
      <c r="U7" s="18">
        <f>VLOOKUP(T7,$D$17:$P$38,13,FALSE)</f>
        <v>1.2701</v>
      </c>
    </row>
    <row r="8" spans="2:21" ht="9.75" customHeight="1" hidden="1">
      <c r="B8" s="153"/>
      <c r="C8" s="153"/>
      <c r="D8" s="180"/>
      <c r="E8" s="180"/>
      <c r="F8" s="181"/>
      <c r="G8" s="181"/>
      <c r="H8" s="181"/>
      <c r="I8" s="181"/>
      <c r="J8" s="181"/>
      <c r="K8" s="180"/>
      <c r="L8" s="180"/>
      <c r="M8" s="180"/>
      <c r="N8" s="180"/>
      <c r="O8" s="180"/>
      <c r="P8" s="180"/>
      <c r="S8" s="18" t="s">
        <v>9</v>
      </c>
      <c r="T8" s="21">
        <f>MATCH(T7,D17:D38)</f>
        <v>2</v>
      </c>
      <c r="U8" s="18"/>
    </row>
    <row r="9" spans="2:22" s="4" customFormat="1" ht="22.5" customHeight="1">
      <c r="B9" s="154"/>
      <c r="C9" s="154"/>
      <c r="D9" s="171" t="s">
        <v>122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R9" s="22"/>
      <c r="S9" s="23" t="s">
        <v>10</v>
      </c>
      <c r="T9" s="21">
        <f>T8+1</f>
        <v>3</v>
      </c>
      <c r="U9" s="23"/>
      <c r="V9" s="22"/>
    </row>
    <row r="10" spans="2:21" ht="4.5" customHeight="1">
      <c r="B10" s="153"/>
      <c r="C10" s="15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S10" s="18" t="s">
        <v>8</v>
      </c>
      <c r="T10" s="21">
        <f>INDEX(D17:D38,T9)</f>
        <v>5</v>
      </c>
      <c r="U10" s="18">
        <f>VLOOKUP(T10,$D$17:$P$38,13,FALSE)</f>
        <v>1.2691</v>
      </c>
    </row>
    <row r="11" spans="2:21" ht="20.25">
      <c r="B11" s="153"/>
      <c r="C11" s="153"/>
      <c r="D11" s="1" t="s">
        <v>26</v>
      </c>
      <c r="E11" s="2"/>
      <c r="F11" s="1"/>
      <c r="G11" s="1"/>
      <c r="H11" s="1"/>
      <c r="I11" s="1"/>
      <c r="J11" s="1"/>
      <c r="K11" s="85">
        <v>0</v>
      </c>
      <c r="L11" s="2" t="s">
        <v>2</v>
      </c>
      <c r="M11" s="2" t="s">
        <v>0</v>
      </c>
      <c r="N11" s="1"/>
      <c r="O11" s="87">
        <v>7</v>
      </c>
      <c r="P11" s="1" t="s">
        <v>2</v>
      </c>
      <c r="S11" s="18" t="s">
        <v>12</v>
      </c>
      <c r="T11" s="21"/>
      <c r="U11" s="18">
        <f>ROUND((U7-((U7-U10)*(T6-T7)/(T10-T7))),4)</f>
        <v>1.2698</v>
      </c>
    </row>
    <row r="12" spans="2:21" ht="20.25">
      <c r="B12" s="153"/>
      <c r="C12" s="153"/>
      <c r="D12" s="1" t="s">
        <v>27</v>
      </c>
      <c r="E12" s="2"/>
      <c r="F12" s="1"/>
      <c r="G12" s="1"/>
      <c r="H12" s="1"/>
      <c r="I12" s="1"/>
      <c r="J12" s="1"/>
      <c r="K12" s="84">
        <v>0</v>
      </c>
      <c r="L12" s="2" t="s">
        <v>2</v>
      </c>
      <c r="M12" s="2" t="s">
        <v>3</v>
      </c>
      <c r="N12" s="1"/>
      <c r="O12" s="86">
        <v>7</v>
      </c>
      <c r="P12" s="1" t="s">
        <v>2</v>
      </c>
      <c r="S12" s="18">
        <v>0</v>
      </c>
      <c r="T12" s="24">
        <v>5</v>
      </c>
      <c r="U12" s="18">
        <v>7</v>
      </c>
    </row>
    <row r="13" spans="2:21" ht="4.5" customHeight="1" thickBot="1">
      <c r="B13" s="153"/>
      <c r="C13" s="153"/>
      <c r="D13" s="14"/>
      <c r="E13" s="13"/>
      <c r="F13" s="14"/>
      <c r="G13" s="14"/>
      <c r="H13" s="14"/>
      <c r="I13" s="14"/>
      <c r="J13" s="14"/>
      <c r="K13" s="13"/>
      <c r="L13" s="13"/>
      <c r="M13" s="13"/>
      <c r="N13" s="14"/>
      <c r="O13" s="13"/>
      <c r="P13" s="14"/>
      <c r="S13" s="18">
        <v>5</v>
      </c>
      <c r="T13" s="24">
        <v>6</v>
      </c>
      <c r="U13" s="18">
        <v>10</v>
      </c>
    </row>
    <row r="14" spans="4:21" ht="21">
      <c r="D14" s="172" t="s">
        <v>149</v>
      </c>
      <c r="E14" s="174" t="s">
        <v>30</v>
      </c>
      <c r="F14" s="175"/>
      <c r="G14" s="175"/>
      <c r="H14" s="175"/>
      <c r="I14" s="175"/>
      <c r="J14" s="175"/>
      <c r="K14" s="175"/>
      <c r="L14" s="175"/>
      <c r="M14" s="175"/>
      <c r="N14" s="174" t="s">
        <v>14</v>
      </c>
      <c r="O14" s="174" t="s">
        <v>15</v>
      </c>
      <c r="P14" s="177" t="s">
        <v>1</v>
      </c>
      <c r="S14" s="18">
        <v>10</v>
      </c>
      <c r="T14" s="25">
        <v>7</v>
      </c>
      <c r="U14" s="18"/>
    </row>
    <row r="15" spans="4:21" ht="41.25" customHeight="1" thickBot="1">
      <c r="D15" s="173"/>
      <c r="E15" s="92" t="s">
        <v>16</v>
      </c>
      <c r="F15" s="93" t="s">
        <v>17</v>
      </c>
      <c r="G15" s="93" t="s">
        <v>18</v>
      </c>
      <c r="H15" s="93" t="s">
        <v>19</v>
      </c>
      <c r="I15" s="93" t="s">
        <v>20</v>
      </c>
      <c r="J15" s="93" t="s">
        <v>21</v>
      </c>
      <c r="K15" s="92" t="s">
        <v>22</v>
      </c>
      <c r="L15" s="92" t="s">
        <v>23</v>
      </c>
      <c r="M15" s="92" t="s">
        <v>24</v>
      </c>
      <c r="N15" s="176"/>
      <c r="O15" s="176"/>
      <c r="P15" s="178"/>
      <c r="S15" s="18">
        <v>15</v>
      </c>
      <c r="T15" s="25">
        <v>8</v>
      </c>
      <c r="U15" s="18"/>
    </row>
    <row r="16" spans="4:21" ht="20.25">
      <c r="D16" s="94" t="s">
        <v>144</v>
      </c>
      <c r="E16" s="95">
        <v>12.266</v>
      </c>
      <c r="F16" s="96">
        <v>6</v>
      </c>
      <c r="G16" s="96">
        <v>3</v>
      </c>
      <c r="H16" s="97">
        <f>$K$11</f>
        <v>0</v>
      </c>
      <c r="I16" s="97">
        <f>$K$12</f>
        <v>0</v>
      </c>
      <c r="J16" s="98">
        <f>$O$11</f>
        <v>7</v>
      </c>
      <c r="K16" s="95">
        <f>(-1)*(J16/12)*((I16/100)+((F16+G16-1)*(H16/100))-(((H16+I16)/100)*((F16+1)/2))-(G16-1))</f>
        <v>1.1666666666666667</v>
      </c>
      <c r="L16" s="95">
        <v>5.5</v>
      </c>
      <c r="M16" s="95">
        <f>E16+K16+L16</f>
        <v>18.932666666666666</v>
      </c>
      <c r="N16" s="99">
        <f>1+(M16/100)</f>
        <v>1.1893266666666666</v>
      </c>
      <c r="O16" s="95">
        <f>1+($O$12/100)</f>
        <v>1.07</v>
      </c>
      <c r="P16" s="100">
        <f>ROUND(N16*O16,4)</f>
        <v>1.2726</v>
      </c>
      <c r="S16" s="18"/>
      <c r="T16" s="24">
        <v>9</v>
      </c>
      <c r="U16" s="18"/>
    </row>
    <row r="17" spans="4:21" ht="20.25">
      <c r="D17" s="101">
        <v>1</v>
      </c>
      <c r="E17" s="102">
        <v>12.266</v>
      </c>
      <c r="F17" s="103">
        <v>6</v>
      </c>
      <c r="G17" s="103">
        <v>3</v>
      </c>
      <c r="H17" s="104">
        <f aca="true" t="shared" si="0" ref="H17:H39">$K$11</f>
        <v>0</v>
      </c>
      <c r="I17" s="104">
        <f aca="true" t="shared" si="1" ref="I17:I39">$K$12</f>
        <v>0</v>
      </c>
      <c r="J17" s="105">
        <f aca="true" t="shared" si="2" ref="J17:J39">$O$11</f>
        <v>7</v>
      </c>
      <c r="K17" s="102">
        <f aca="true" t="shared" si="3" ref="K17:K39">(-1)*(J17/12)*((I17/100)+((F17+G17-1)*(H17/100))-(((H17+I17)/100)*((F17+1)/2))-(G17-1))</f>
        <v>1.1666666666666667</v>
      </c>
      <c r="L17" s="102">
        <v>5.5</v>
      </c>
      <c r="M17" s="102">
        <f aca="true" t="shared" si="4" ref="M17:M39">E17+K17+L17</f>
        <v>18.932666666666666</v>
      </c>
      <c r="N17" s="106">
        <f aca="true" t="shared" si="5" ref="N17:N39">1+(M17/100)</f>
        <v>1.1893266666666666</v>
      </c>
      <c r="O17" s="102">
        <f aca="true" t="shared" si="6" ref="O17:O39">1+($O$12/100)</f>
        <v>1.07</v>
      </c>
      <c r="P17" s="107">
        <f aca="true" t="shared" si="7" ref="P17:P39">ROUND(N17*O17,4)</f>
        <v>1.2726</v>
      </c>
      <c r="S17" s="18"/>
      <c r="T17" s="24">
        <v>10</v>
      </c>
      <c r="U17" s="18"/>
    </row>
    <row r="18" spans="4:16" ht="20.25">
      <c r="D18" s="101">
        <v>2</v>
      </c>
      <c r="E18" s="102">
        <v>12.0383</v>
      </c>
      <c r="F18" s="103">
        <v>9</v>
      </c>
      <c r="G18" s="103">
        <v>3</v>
      </c>
      <c r="H18" s="104">
        <f t="shared" si="0"/>
        <v>0</v>
      </c>
      <c r="I18" s="104">
        <f t="shared" si="1"/>
        <v>0</v>
      </c>
      <c r="J18" s="105">
        <f t="shared" si="2"/>
        <v>7</v>
      </c>
      <c r="K18" s="102">
        <f t="shared" si="3"/>
        <v>1.1666666666666667</v>
      </c>
      <c r="L18" s="102">
        <v>5.5</v>
      </c>
      <c r="M18" s="102">
        <f t="shared" si="4"/>
        <v>18.704966666666664</v>
      </c>
      <c r="N18" s="106">
        <f t="shared" si="5"/>
        <v>1.1870496666666666</v>
      </c>
      <c r="O18" s="102">
        <f t="shared" si="6"/>
        <v>1.07</v>
      </c>
      <c r="P18" s="107">
        <f t="shared" si="7"/>
        <v>1.2701</v>
      </c>
    </row>
    <row r="19" spans="4:16" ht="20.25">
      <c r="D19" s="101">
        <v>5</v>
      </c>
      <c r="E19" s="102">
        <v>11.94</v>
      </c>
      <c r="F19" s="103">
        <v>12</v>
      </c>
      <c r="G19" s="103">
        <v>3</v>
      </c>
      <c r="H19" s="104">
        <f t="shared" si="0"/>
        <v>0</v>
      </c>
      <c r="I19" s="104">
        <f t="shared" si="1"/>
        <v>0</v>
      </c>
      <c r="J19" s="105">
        <f t="shared" si="2"/>
        <v>7</v>
      </c>
      <c r="K19" s="102">
        <f t="shared" si="3"/>
        <v>1.1666666666666667</v>
      </c>
      <c r="L19" s="102">
        <v>5.5</v>
      </c>
      <c r="M19" s="102">
        <f t="shared" si="4"/>
        <v>18.606666666666666</v>
      </c>
      <c r="N19" s="106">
        <f t="shared" si="5"/>
        <v>1.1860666666666666</v>
      </c>
      <c r="O19" s="102">
        <f t="shared" si="6"/>
        <v>1.07</v>
      </c>
      <c r="P19" s="107">
        <f t="shared" si="7"/>
        <v>1.2691</v>
      </c>
    </row>
    <row r="20" spans="4:16" ht="20.25">
      <c r="D20" s="101">
        <v>10</v>
      </c>
      <c r="E20" s="102">
        <v>11.7523</v>
      </c>
      <c r="F20" s="103">
        <v>15</v>
      </c>
      <c r="G20" s="103">
        <v>3</v>
      </c>
      <c r="H20" s="104">
        <f t="shared" si="0"/>
        <v>0</v>
      </c>
      <c r="I20" s="104">
        <f t="shared" si="1"/>
        <v>0</v>
      </c>
      <c r="J20" s="105">
        <f t="shared" si="2"/>
        <v>7</v>
      </c>
      <c r="K20" s="102">
        <f t="shared" si="3"/>
        <v>1.1666666666666667</v>
      </c>
      <c r="L20" s="102">
        <v>5</v>
      </c>
      <c r="M20" s="102">
        <f t="shared" si="4"/>
        <v>17.918966666666666</v>
      </c>
      <c r="N20" s="106">
        <f t="shared" si="5"/>
        <v>1.1791896666666666</v>
      </c>
      <c r="O20" s="102">
        <f t="shared" si="6"/>
        <v>1.07</v>
      </c>
      <c r="P20" s="107">
        <f t="shared" si="7"/>
        <v>1.2617</v>
      </c>
    </row>
    <row r="21" spans="4:16" ht="20.25">
      <c r="D21" s="101">
        <v>15</v>
      </c>
      <c r="E21" s="102">
        <v>8.1313</v>
      </c>
      <c r="F21" s="103">
        <v>15</v>
      </c>
      <c r="G21" s="103">
        <v>3</v>
      </c>
      <c r="H21" s="104">
        <f t="shared" si="0"/>
        <v>0</v>
      </c>
      <c r="I21" s="104">
        <f t="shared" si="1"/>
        <v>0</v>
      </c>
      <c r="J21" s="105">
        <f t="shared" si="2"/>
        <v>7</v>
      </c>
      <c r="K21" s="102">
        <f t="shared" si="3"/>
        <v>1.1666666666666667</v>
      </c>
      <c r="L21" s="102">
        <v>5</v>
      </c>
      <c r="M21" s="102">
        <f t="shared" si="4"/>
        <v>14.297966666666666</v>
      </c>
      <c r="N21" s="106">
        <f t="shared" si="5"/>
        <v>1.1429796666666667</v>
      </c>
      <c r="O21" s="102">
        <f t="shared" si="6"/>
        <v>1.07</v>
      </c>
      <c r="P21" s="107">
        <f t="shared" si="7"/>
        <v>1.223</v>
      </c>
    </row>
    <row r="22" spans="4:16" ht="20.25">
      <c r="D22" s="101">
        <v>20</v>
      </c>
      <c r="E22" s="102">
        <v>8.1223</v>
      </c>
      <c r="F22" s="103">
        <v>16</v>
      </c>
      <c r="G22" s="103">
        <v>3</v>
      </c>
      <c r="H22" s="104">
        <f t="shared" si="0"/>
        <v>0</v>
      </c>
      <c r="I22" s="104">
        <f t="shared" si="1"/>
        <v>0</v>
      </c>
      <c r="J22" s="105">
        <f t="shared" si="2"/>
        <v>7</v>
      </c>
      <c r="K22" s="102">
        <f t="shared" si="3"/>
        <v>1.1666666666666667</v>
      </c>
      <c r="L22" s="102">
        <v>5</v>
      </c>
      <c r="M22" s="102">
        <f t="shared" si="4"/>
        <v>14.288966666666665</v>
      </c>
      <c r="N22" s="106">
        <f t="shared" si="5"/>
        <v>1.1428896666666666</v>
      </c>
      <c r="O22" s="102">
        <f t="shared" si="6"/>
        <v>1.07</v>
      </c>
      <c r="P22" s="107">
        <f t="shared" si="7"/>
        <v>1.2229</v>
      </c>
    </row>
    <row r="23" spans="4:16" ht="20.25">
      <c r="D23" s="101">
        <v>25</v>
      </c>
      <c r="E23" s="102">
        <v>8.1006</v>
      </c>
      <c r="F23" s="103">
        <v>16</v>
      </c>
      <c r="G23" s="103">
        <v>3</v>
      </c>
      <c r="H23" s="104">
        <f t="shared" si="0"/>
        <v>0</v>
      </c>
      <c r="I23" s="104">
        <f t="shared" si="1"/>
        <v>0</v>
      </c>
      <c r="J23" s="105">
        <f t="shared" si="2"/>
        <v>7</v>
      </c>
      <c r="K23" s="102">
        <f t="shared" si="3"/>
        <v>1.1666666666666667</v>
      </c>
      <c r="L23" s="102">
        <v>4.5</v>
      </c>
      <c r="M23" s="102">
        <f t="shared" si="4"/>
        <v>13.767266666666666</v>
      </c>
      <c r="N23" s="106">
        <f t="shared" si="5"/>
        <v>1.1376726666666666</v>
      </c>
      <c r="O23" s="102">
        <f t="shared" si="6"/>
        <v>1.07</v>
      </c>
      <c r="P23" s="107">
        <f t="shared" si="7"/>
        <v>1.2173</v>
      </c>
    </row>
    <row r="24" spans="4:16" ht="20.25">
      <c r="D24" s="101">
        <v>30</v>
      </c>
      <c r="E24" s="102">
        <v>7.4491</v>
      </c>
      <c r="F24" s="103">
        <v>17</v>
      </c>
      <c r="G24" s="103">
        <v>3</v>
      </c>
      <c r="H24" s="104">
        <f t="shared" si="0"/>
        <v>0</v>
      </c>
      <c r="I24" s="104">
        <f t="shared" si="1"/>
        <v>0</v>
      </c>
      <c r="J24" s="105">
        <f t="shared" si="2"/>
        <v>7</v>
      </c>
      <c r="K24" s="102">
        <f t="shared" si="3"/>
        <v>1.1666666666666667</v>
      </c>
      <c r="L24" s="102">
        <v>4.5</v>
      </c>
      <c r="M24" s="102">
        <f t="shared" si="4"/>
        <v>13.115766666666666</v>
      </c>
      <c r="N24" s="106">
        <f t="shared" si="5"/>
        <v>1.1311576666666667</v>
      </c>
      <c r="O24" s="102">
        <f t="shared" si="6"/>
        <v>1.07</v>
      </c>
      <c r="P24" s="107">
        <f t="shared" si="7"/>
        <v>1.2103</v>
      </c>
    </row>
    <row r="25" spans="4:16" ht="20.25">
      <c r="D25" s="101">
        <v>40</v>
      </c>
      <c r="E25" s="102">
        <v>7.225</v>
      </c>
      <c r="F25" s="103">
        <v>17</v>
      </c>
      <c r="G25" s="103">
        <v>3</v>
      </c>
      <c r="H25" s="104">
        <f t="shared" si="0"/>
        <v>0</v>
      </c>
      <c r="I25" s="104">
        <f t="shared" si="1"/>
        <v>0</v>
      </c>
      <c r="J25" s="105">
        <f t="shared" si="2"/>
        <v>7</v>
      </c>
      <c r="K25" s="102">
        <f t="shared" si="3"/>
        <v>1.1666666666666667</v>
      </c>
      <c r="L25" s="102">
        <v>4.5</v>
      </c>
      <c r="M25" s="102">
        <f t="shared" si="4"/>
        <v>12.891666666666666</v>
      </c>
      <c r="N25" s="106">
        <f t="shared" si="5"/>
        <v>1.1289166666666666</v>
      </c>
      <c r="O25" s="102">
        <f t="shared" si="6"/>
        <v>1.07</v>
      </c>
      <c r="P25" s="107">
        <f t="shared" si="7"/>
        <v>1.2079</v>
      </c>
    </row>
    <row r="26" spans="4:16" ht="20.25">
      <c r="D26" s="101">
        <v>50</v>
      </c>
      <c r="E26" s="102">
        <v>7.2202</v>
      </c>
      <c r="F26" s="103">
        <v>18</v>
      </c>
      <c r="G26" s="103">
        <v>3</v>
      </c>
      <c r="H26" s="104">
        <f t="shared" si="0"/>
        <v>0</v>
      </c>
      <c r="I26" s="104">
        <f t="shared" si="1"/>
        <v>0</v>
      </c>
      <c r="J26" s="105">
        <f t="shared" si="2"/>
        <v>7</v>
      </c>
      <c r="K26" s="102">
        <f t="shared" si="3"/>
        <v>1.1666666666666667</v>
      </c>
      <c r="L26" s="102">
        <v>4.5</v>
      </c>
      <c r="M26" s="102">
        <f t="shared" si="4"/>
        <v>12.886866666666666</v>
      </c>
      <c r="N26" s="106">
        <f t="shared" si="5"/>
        <v>1.1288686666666667</v>
      </c>
      <c r="O26" s="102">
        <f t="shared" si="6"/>
        <v>1.07</v>
      </c>
      <c r="P26" s="107">
        <f t="shared" si="7"/>
        <v>1.2079</v>
      </c>
    </row>
    <row r="27" spans="4:16" ht="20.25">
      <c r="D27" s="101">
        <v>60</v>
      </c>
      <c r="E27" s="102">
        <v>6.7961</v>
      </c>
      <c r="F27" s="103">
        <v>18</v>
      </c>
      <c r="G27" s="103">
        <v>3</v>
      </c>
      <c r="H27" s="104">
        <f t="shared" si="0"/>
        <v>0</v>
      </c>
      <c r="I27" s="104">
        <f t="shared" si="1"/>
        <v>0</v>
      </c>
      <c r="J27" s="105">
        <f t="shared" si="2"/>
        <v>7</v>
      </c>
      <c r="K27" s="102">
        <f t="shared" si="3"/>
        <v>1.1666666666666667</v>
      </c>
      <c r="L27" s="102">
        <v>4</v>
      </c>
      <c r="M27" s="102">
        <f t="shared" si="4"/>
        <v>11.962766666666667</v>
      </c>
      <c r="N27" s="106">
        <f t="shared" si="5"/>
        <v>1.1196276666666667</v>
      </c>
      <c r="O27" s="102">
        <f t="shared" si="6"/>
        <v>1.07</v>
      </c>
      <c r="P27" s="107">
        <f t="shared" si="7"/>
        <v>1.198</v>
      </c>
    </row>
    <row r="28" spans="4:16" ht="20.25">
      <c r="D28" s="101">
        <v>70</v>
      </c>
      <c r="E28" s="102">
        <v>6.7758</v>
      </c>
      <c r="F28" s="103">
        <v>20</v>
      </c>
      <c r="G28" s="103">
        <v>3</v>
      </c>
      <c r="H28" s="104">
        <f t="shared" si="0"/>
        <v>0</v>
      </c>
      <c r="I28" s="104">
        <f t="shared" si="1"/>
        <v>0</v>
      </c>
      <c r="J28" s="105">
        <f t="shared" si="2"/>
        <v>7</v>
      </c>
      <c r="K28" s="102">
        <f t="shared" si="3"/>
        <v>1.1666666666666667</v>
      </c>
      <c r="L28" s="102">
        <v>4</v>
      </c>
      <c r="M28" s="102">
        <f t="shared" si="4"/>
        <v>11.942466666666668</v>
      </c>
      <c r="N28" s="106">
        <f t="shared" si="5"/>
        <v>1.1194246666666667</v>
      </c>
      <c r="O28" s="102">
        <f t="shared" si="6"/>
        <v>1.07</v>
      </c>
      <c r="P28" s="107">
        <f t="shared" si="7"/>
        <v>1.1978</v>
      </c>
    </row>
    <row r="29" spans="4:16" ht="20.25">
      <c r="D29" s="101">
        <v>80</v>
      </c>
      <c r="E29" s="102">
        <v>6.7758</v>
      </c>
      <c r="F29" s="103">
        <v>20</v>
      </c>
      <c r="G29" s="103">
        <v>3</v>
      </c>
      <c r="H29" s="104">
        <f t="shared" si="0"/>
        <v>0</v>
      </c>
      <c r="I29" s="104">
        <f t="shared" si="1"/>
        <v>0</v>
      </c>
      <c r="J29" s="105">
        <f t="shared" si="2"/>
        <v>7</v>
      </c>
      <c r="K29" s="102">
        <f t="shared" si="3"/>
        <v>1.1666666666666667</v>
      </c>
      <c r="L29" s="102">
        <v>4</v>
      </c>
      <c r="M29" s="102">
        <f t="shared" si="4"/>
        <v>11.942466666666668</v>
      </c>
      <c r="N29" s="106">
        <f t="shared" si="5"/>
        <v>1.1194246666666667</v>
      </c>
      <c r="O29" s="102">
        <f t="shared" si="6"/>
        <v>1.07</v>
      </c>
      <c r="P29" s="107">
        <f t="shared" si="7"/>
        <v>1.1978</v>
      </c>
    </row>
    <row r="30" spans="4:16" ht="20.25">
      <c r="D30" s="101">
        <v>90</v>
      </c>
      <c r="E30" s="102">
        <v>6.5412</v>
      </c>
      <c r="F30" s="103">
        <v>20</v>
      </c>
      <c r="G30" s="103">
        <v>3</v>
      </c>
      <c r="H30" s="104">
        <f t="shared" si="0"/>
        <v>0</v>
      </c>
      <c r="I30" s="104">
        <f t="shared" si="1"/>
        <v>0</v>
      </c>
      <c r="J30" s="105">
        <f t="shared" si="2"/>
        <v>7</v>
      </c>
      <c r="K30" s="102">
        <f t="shared" si="3"/>
        <v>1.1666666666666667</v>
      </c>
      <c r="L30" s="102">
        <v>4</v>
      </c>
      <c r="M30" s="102">
        <f t="shared" si="4"/>
        <v>11.707866666666668</v>
      </c>
      <c r="N30" s="106">
        <f t="shared" si="5"/>
        <v>1.1170786666666668</v>
      </c>
      <c r="O30" s="102">
        <f t="shared" si="6"/>
        <v>1.07</v>
      </c>
      <c r="P30" s="107">
        <f t="shared" si="7"/>
        <v>1.1953</v>
      </c>
    </row>
    <row r="31" spans="4:16" ht="20.25">
      <c r="D31" s="101">
        <v>100</v>
      </c>
      <c r="E31" s="102">
        <v>6.5412</v>
      </c>
      <c r="F31" s="103">
        <v>20</v>
      </c>
      <c r="G31" s="103">
        <v>3</v>
      </c>
      <c r="H31" s="104">
        <f t="shared" si="0"/>
        <v>0</v>
      </c>
      <c r="I31" s="104">
        <f t="shared" si="1"/>
        <v>0</v>
      </c>
      <c r="J31" s="105">
        <f t="shared" si="2"/>
        <v>7</v>
      </c>
      <c r="K31" s="102">
        <f t="shared" si="3"/>
        <v>1.1666666666666667</v>
      </c>
      <c r="L31" s="102">
        <v>4</v>
      </c>
      <c r="M31" s="102">
        <f t="shared" si="4"/>
        <v>11.707866666666668</v>
      </c>
      <c r="N31" s="106">
        <f t="shared" si="5"/>
        <v>1.1170786666666668</v>
      </c>
      <c r="O31" s="102">
        <f t="shared" si="6"/>
        <v>1.07</v>
      </c>
      <c r="P31" s="107">
        <f t="shared" si="7"/>
        <v>1.1953</v>
      </c>
    </row>
    <row r="32" spans="4:16" ht="20.25">
      <c r="D32" s="101">
        <v>150</v>
      </c>
      <c r="E32" s="102">
        <v>6.533</v>
      </c>
      <c r="F32" s="103">
        <v>22</v>
      </c>
      <c r="G32" s="103">
        <v>3</v>
      </c>
      <c r="H32" s="104">
        <f t="shared" si="0"/>
        <v>0</v>
      </c>
      <c r="I32" s="104">
        <f t="shared" si="1"/>
        <v>0</v>
      </c>
      <c r="J32" s="105">
        <f t="shared" si="2"/>
        <v>7</v>
      </c>
      <c r="K32" s="102">
        <f t="shared" si="3"/>
        <v>1.1666666666666667</v>
      </c>
      <c r="L32" s="102">
        <v>4</v>
      </c>
      <c r="M32" s="102">
        <f t="shared" si="4"/>
        <v>11.699666666666667</v>
      </c>
      <c r="N32" s="106">
        <f t="shared" si="5"/>
        <v>1.1169966666666666</v>
      </c>
      <c r="O32" s="102">
        <f t="shared" si="6"/>
        <v>1.07</v>
      </c>
      <c r="P32" s="107">
        <f t="shared" si="7"/>
        <v>1.1952</v>
      </c>
    </row>
    <row r="33" spans="4:16" ht="20.25">
      <c r="D33" s="101">
        <v>200</v>
      </c>
      <c r="E33" s="102">
        <v>6.5224</v>
      </c>
      <c r="F33" s="103">
        <v>24</v>
      </c>
      <c r="G33" s="103">
        <v>3</v>
      </c>
      <c r="H33" s="104">
        <f t="shared" si="0"/>
        <v>0</v>
      </c>
      <c r="I33" s="104">
        <f t="shared" si="1"/>
        <v>0</v>
      </c>
      <c r="J33" s="105">
        <f t="shared" si="2"/>
        <v>7</v>
      </c>
      <c r="K33" s="102">
        <f t="shared" si="3"/>
        <v>1.1666666666666667</v>
      </c>
      <c r="L33" s="102">
        <v>4</v>
      </c>
      <c r="M33" s="102">
        <f t="shared" si="4"/>
        <v>11.689066666666667</v>
      </c>
      <c r="N33" s="106">
        <f t="shared" si="5"/>
        <v>1.1168906666666667</v>
      </c>
      <c r="O33" s="102">
        <f t="shared" si="6"/>
        <v>1.07</v>
      </c>
      <c r="P33" s="107">
        <f t="shared" si="7"/>
        <v>1.1951</v>
      </c>
    </row>
    <row r="34" spans="4:16" ht="20.25">
      <c r="D34" s="101">
        <v>250</v>
      </c>
      <c r="E34" s="102">
        <v>6.2711</v>
      </c>
      <c r="F34" s="103">
        <v>28</v>
      </c>
      <c r="G34" s="103">
        <v>3</v>
      </c>
      <c r="H34" s="104">
        <f t="shared" si="0"/>
        <v>0</v>
      </c>
      <c r="I34" s="104">
        <f t="shared" si="1"/>
        <v>0</v>
      </c>
      <c r="J34" s="105">
        <f t="shared" si="2"/>
        <v>7</v>
      </c>
      <c r="K34" s="102">
        <f t="shared" si="3"/>
        <v>1.1666666666666667</v>
      </c>
      <c r="L34" s="102">
        <v>4</v>
      </c>
      <c r="M34" s="102">
        <f t="shared" si="4"/>
        <v>11.437766666666667</v>
      </c>
      <c r="N34" s="106">
        <f t="shared" si="5"/>
        <v>1.1143776666666667</v>
      </c>
      <c r="O34" s="102">
        <f t="shared" si="6"/>
        <v>1.07</v>
      </c>
      <c r="P34" s="107">
        <f t="shared" si="7"/>
        <v>1.1924</v>
      </c>
    </row>
    <row r="35" spans="4:16" ht="20.25">
      <c r="D35" s="101">
        <v>300</v>
      </c>
      <c r="E35" s="102">
        <v>6.2679</v>
      </c>
      <c r="F35" s="103">
        <v>30</v>
      </c>
      <c r="G35" s="103">
        <v>3</v>
      </c>
      <c r="H35" s="104">
        <f t="shared" si="0"/>
        <v>0</v>
      </c>
      <c r="I35" s="104">
        <f t="shared" si="1"/>
        <v>0</v>
      </c>
      <c r="J35" s="105">
        <f t="shared" si="2"/>
        <v>7</v>
      </c>
      <c r="K35" s="102">
        <f t="shared" si="3"/>
        <v>1.1666666666666667</v>
      </c>
      <c r="L35" s="102">
        <v>3.5</v>
      </c>
      <c r="M35" s="102">
        <f t="shared" si="4"/>
        <v>10.934566666666667</v>
      </c>
      <c r="N35" s="106">
        <f t="shared" si="5"/>
        <v>1.1093456666666666</v>
      </c>
      <c r="O35" s="102">
        <f t="shared" si="6"/>
        <v>1.07</v>
      </c>
      <c r="P35" s="107">
        <f t="shared" si="7"/>
        <v>1.187</v>
      </c>
    </row>
    <row r="36" spans="4:16" ht="20.25">
      <c r="D36" s="101">
        <v>350</v>
      </c>
      <c r="E36" s="102">
        <v>6.1909</v>
      </c>
      <c r="F36" s="103">
        <v>32</v>
      </c>
      <c r="G36" s="103">
        <v>3</v>
      </c>
      <c r="H36" s="104">
        <f t="shared" si="0"/>
        <v>0</v>
      </c>
      <c r="I36" s="104">
        <f t="shared" si="1"/>
        <v>0</v>
      </c>
      <c r="J36" s="105">
        <f t="shared" si="2"/>
        <v>7</v>
      </c>
      <c r="K36" s="102">
        <f t="shared" si="3"/>
        <v>1.1666666666666667</v>
      </c>
      <c r="L36" s="102">
        <v>3.5</v>
      </c>
      <c r="M36" s="102">
        <f t="shared" si="4"/>
        <v>10.857566666666667</v>
      </c>
      <c r="N36" s="106">
        <f t="shared" si="5"/>
        <v>1.1085756666666666</v>
      </c>
      <c r="O36" s="102">
        <f t="shared" si="6"/>
        <v>1.07</v>
      </c>
      <c r="P36" s="107">
        <f t="shared" si="7"/>
        <v>1.1862</v>
      </c>
    </row>
    <row r="37" spans="4:16" ht="20.25">
      <c r="D37" s="101">
        <v>400</v>
      </c>
      <c r="E37" s="102">
        <v>6.1658</v>
      </c>
      <c r="F37" s="103">
        <v>36</v>
      </c>
      <c r="G37" s="103">
        <v>3</v>
      </c>
      <c r="H37" s="104">
        <f t="shared" si="0"/>
        <v>0</v>
      </c>
      <c r="I37" s="104">
        <f t="shared" si="1"/>
        <v>0</v>
      </c>
      <c r="J37" s="105">
        <f t="shared" si="2"/>
        <v>7</v>
      </c>
      <c r="K37" s="102">
        <f t="shared" si="3"/>
        <v>1.1666666666666667</v>
      </c>
      <c r="L37" s="102">
        <v>3.5</v>
      </c>
      <c r="M37" s="102">
        <f t="shared" si="4"/>
        <v>10.832466666666667</v>
      </c>
      <c r="N37" s="106">
        <f t="shared" si="5"/>
        <v>1.1083246666666666</v>
      </c>
      <c r="O37" s="102">
        <f t="shared" si="6"/>
        <v>1.07</v>
      </c>
      <c r="P37" s="107">
        <f t="shared" si="7"/>
        <v>1.1859</v>
      </c>
    </row>
    <row r="38" spans="4:16" ht="20.25">
      <c r="D38" s="101">
        <v>500</v>
      </c>
      <c r="E38" s="102">
        <v>6.1658</v>
      </c>
      <c r="F38" s="103">
        <v>36</v>
      </c>
      <c r="G38" s="103">
        <v>3</v>
      </c>
      <c r="H38" s="104">
        <f t="shared" si="0"/>
        <v>0</v>
      </c>
      <c r="I38" s="104">
        <f t="shared" si="1"/>
        <v>0</v>
      </c>
      <c r="J38" s="105">
        <f t="shared" si="2"/>
        <v>7</v>
      </c>
      <c r="K38" s="102">
        <f t="shared" si="3"/>
        <v>1.1666666666666667</v>
      </c>
      <c r="L38" s="102">
        <v>3.5</v>
      </c>
      <c r="M38" s="102">
        <f t="shared" si="4"/>
        <v>10.832466666666667</v>
      </c>
      <c r="N38" s="106">
        <f t="shared" si="5"/>
        <v>1.1083246666666666</v>
      </c>
      <c r="O38" s="102">
        <f t="shared" si="6"/>
        <v>1.07</v>
      </c>
      <c r="P38" s="107">
        <f t="shared" si="7"/>
        <v>1.1859</v>
      </c>
    </row>
    <row r="39" spans="4:16" ht="20.25" customHeight="1" thickBot="1">
      <c r="D39" s="149" t="s">
        <v>145</v>
      </c>
      <c r="E39" s="109">
        <v>5.5503</v>
      </c>
      <c r="F39" s="110">
        <v>40</v>
      </c>
      <c r="G39" s="110">
        <v>3</v>
      </c>
      <c r="H39" s="111">
        <f t="shared" si="0"/>
        <v>0</v>
      </c>
      <c r="I39" s="111">
        <f t="shared" si="1"/>
        <v>0</v>
      </c>
      <c r="J39" s="112">
        <f t="shared" si="2"/>
        <v>7</v>
      </c>
      <c r="K39" s="109">
        <f t="shared" si="3"/>
        <v>1.1666666666666667</v>
      </c>
      <c r="L39" s="109">
        <v>3.5</v>
      </c>
      <c r="M39" s="109">
        <f t="shared" si="4"/>
        <v>10.216966666666668</v>
      </c>
      <c r="N39" s="113">
        <f t="shared" si="5"/>
        <v>1.1021696666666667</v>
      </c>
      <c r="O39" s="109">
        <f t="shared" si="6"/>
        <v>1.07</v>
      </c>
      <c r="P39" s="114">
        <f t="shared" si="7"/>
        <v>1.1793</v>
      </c>
    </row>
    <row r="40" spans="4:16" ht="20.25">
      <c r="D40" s="26" t="s">
        <v>146</v>
      </c>
      <c r="E40" s="27" t="s">
        <v>147</v>
      </c>
      <c r="F40" s="26"/>
      <c r="G40" s="26"/>
      <c r="H40" s="26"/>
      <c r="I40" s="26"/>
      <c r="J40" s="26"/>
      <c r="K40" s="27"/>
      <c r="L40" s="27"/>
      <c r="M40" s="27"/>
      <c r="N40" s="26"/>
      <c r="O40" s="26"/>
      <c r="P40" s="26"/>
    </row>
    <row r="41" spans="4:16" ht="21">
      <c r="D41" s="26"/>
      <c r="E41" s="27" t="s">
        <v>148</v>
      </c>
      <c r="F41" s="26"/>
      <c r="G41" s="26"/>
      <c r="H41" s="26"/>
      <c r="I41" s="26"/>
      <c r="J41" s="26"/>
      <c r="K41" s="27"/>
      <c r="L41" s="27"/>
      <c r="M41" s="27"/>
      <c r="N41" s="26"/>
      <c r="O41" s="26"/>
      <c r="P41" s="26"/>
    </row>
  </sheetData>
  <sheetProtection password="87BD" sheet="1" objects="1" scenarios="1" selectLockedCells="1"/>
  <mergeCells count="14">
    <mergeCell ref="N4:O4"/>
    <mergeCell ref="N5:O5"/>
    <mergeCell ref="L5:M5"/>
    <mergeCell ref="L4:M4"/>
    <mergeCell ref="K2:P2"/>
    <mergeCell ref="D6:E6"/>
    <mergeCell ref="D9:P9"/>
    <mergeCell ref="D14:D15"/>
    <mergeCell ref="E14:M14"/>
    <mergeCell ref="N14:N15"/>
    <mergeCell ref="O14:O15"/>
    <mergeCell ref="P14:P15"/>
    <mergeCell ref="N6:O6"/>
    <mergeCell ref="D8:P8"/>
  </mergeCells>
  <dataValidations count="5">
    <dataValidation type="list" allowBlank="1" showInputMessage="1" showErrorMessage="1" sqref="O11">
      <formula1>$T$13:$T$15</formula1>
    </dataValidation>
    <dataValidation type="list" allowBlank="1" showInputMessage="1" showErrorMessage="1" sqref="K11">
      <formula1>$S$12:$S$15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2">
      <formula1>$S$12:$S$14</formula1>
    </dataValidation>
    <dataValidation type="list" allowBlank="1" showInputMessage="1" showErrorMessage="1" sqref="O12">
      <formula1>$U$12:$U$13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D1:AE54"/>
  <sheetViews>
    <sheetView showGridLines="0" showRowColHeaders="0" showOutlineSymbols="0" zoomScalePageLayoutView="0" workbookViewId="0" topLeftCell="A1">
      <selection activeCell="O11" sqref="O11"/>
    </sheetView>
  </sheetViews>
  <sheetFormatPr defaultColWidth="9.00390625" defaultRowHeight="12.75"/>
  <cols>
    <col min="1" max="2" width="9.00390625" style="3" customWidth="1"/>
    <col min="3" max="3" width="3.7109375" style="3" customWidth="1"/>
    <col min="4" max="4" width="10.28125" style="3" customWidth="1"/>
    <col min="5" max="5" width="10.28125" style="6" customWidth="1"/>
    <col min="6" max="10" width="9.00390625" style="3" hidden="1" customWidth="1"/>
    <col min="11" max="13" width="10.28125" style="6" customWidth="1"/>
    <col min="14" max="16" width="10.28125" style="3" customWidth="1"/>
    <col min="17" max="18" width="10.28125" style="6" hidden="1" customWidth="1"/>
    <col min="19" max="22" width="10.28125" style="3" hidden="1" customWidth="1"/>
    <col min="23" max="24" width="10.28125" style="3" customWidth="1"/>
    <col min="25" max="25" width="9.00390625" style="26" hidden="1" customWidth="1"/>
    <col min="26" max="26" width="10.8515625" style="37" hidden="1" customWidth="1"/>
    <col min="27" max="27" width="11.57421875" style="26" hidden="1" customWidth="1"/>
    <col min="28" max="28" width="9.00390625" style="26" hidden="1" customWidth="1"/>
    <col min="29" max="29" width="11.28125" style="26" hidden="1" customWidth="1"/>
    <col min="30" max="31" width="9.00390625" style="26" hidden="1" customWidth="1"/>
    <col min="32" max="16384" width="9.00390625" style="3" customWidth="1"/>
  </cols>
  <sheetData>
    <row r="1" spans="24:31" ht="16.5" customHeight="1" thickBot="1">
      <c r="X1" s="64" t="str">
        <f>F_อาคาร!P1</f>
        <v>Factor F_2555</v>
      </c>
      <c r="Y1" s="3"/>
      <c r="Z1" s="52"/>
      <c r="AA1" s="3"/>
      <c r="AB1" s="3"/>
      <c r="AC1" s="3"/>
      <c r="AD1" s="3"/>
      <c r="AE1" s="3"/>
    </row>
    <row r="2" spans="4:24" ht="23.25">
      <c r="D2" s="29"/>
      <c r="E2" s="29"/>
      <c r="F2" s="28"/>
      <c r="G2" s="28"/>
      <c r="H2" s="28"/>
      <c r="I2" s="28"/>
      <c r="J2" s="28"/>
      <c r="K2" s="171" t="s">
        <v>66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4:24" ht="8.25" customHeight="1">
      <c r="D3" s="29"/>
      <c r="E3" s="29"/>
      <c r="F3" s="29"/>
      <c r="G3" s="29"/>
      <c r="H3" s="29"/>
      <c r="I3" s="29"/>
      <c r="J3" s="29"/>
      <c r="K3" s="11"/>
      <c r="L3" s="11"/>
      <c r="M3" s="11"/>
      <c r="N3" s="11"/>
      <c r="O3" s="11"/>
      <c r="P3" s="11"/>
      <c r="Q3" s="72"/>
      <c r="R3" s="72"/>
      <c r="S3" s="7"/>
      <c r="T3" s="7"/>
      <c r="U3" s="7"/>
      <c r="V3" s="7"/>
      <c r="W3" s="7"/>
      <c r="X3" s="7"/>
    </row>
    <row r="4" spans="4:27" ht="20.25">
      <c r="D4" s="151"/>
      <c r="E4" s="31"/>
      <c r="F4" s="30"/>
      <c r="G4" s="30"/>
      <c r="H4" s="30"/>
      <c r="I4" s="30"/>
      <c r="J4" s="30"/>
      <c r="K4" s="72" t="s">
        <v>4</v>
      </c>
      <c r="L4" s="72"/>
      <c r="M4" s="182">
        <v>18000000</v>
      </c>
      <c r="N4" s="182"/>
      <c r="O4" s="150" t="s">
        <v>5</v>
      </c>
      <c r="P4" s="194" t="s">
        <v>41</v>
      </c>
      <c r="Q4" s="194"/>
      <c r="R4" s="194"/>
      <c r="S4" s="194"/>
      <c r="T4" s="194"/>
      <c r="U4" s="194"/>
      <c r="V4" s="194"/>
      <c r="W4" s="194"/>
      <c r="X4" s="7"/>
      <c r="Y4" s="38"/>
      <c r="Z4" s="48"/>
      <c r="AA4" s="38"/>
    </row>
    <row r="5" spans="4:27" ht="20.25">
      <c r="D5" s="151"/>
      <c r="E5" s="152"/>
      <c r="F5" s="32"/>
      <c r="G5" s="32"/>
      <c r="H5" s="32"/>
      <c r="I5" s="32"/>
      <c r="J5" s="32"/>
      <c r="K5" s="72" t="s">
        <v>13</v>
      </c>
      <c r="L5" s="72"/>
      <c r="M5" s="193">
        <f>IF(W6=1,IF(M4=0,0,IF(M4&lt;=5000000,W16,IF(M4&gt;=500000000,W52,AB21))),IF(W6=2,IF(M4=0,0,IF(M4&lt;=5000000,X16,IF(M4&gt;=500000000,X52,AB21))),IF(M4=0,0,IF(M4&lt;=5000000,P16,IF(M4&gt;=500000000,P52,AB21)))))</f>
        <v>1.2551</v>
      </c>
      <c r="N5" s="193"/>
      <c r="O5" s="150"/>
      <c r="P5" s="146" t="s">
        <v>39</v>
      </c>
      <c r="Q5" s="31"/>
      <c r="R5" s="31"/>
      <c r="S5" s="73"/>
      <c r="T5" s="73"/>
      <c r="U5" s="73"/>
      <c r="V5" s="73"/>
      <c r="W5" s="145" t="s">
        <v>62</v>
      </c>
      <c r="X5" s="7"/>
      <c r="Y5" s="38"/>
      <c r="Z5" s="39"/>
      <c r="AA5" s="46"/>
    </row>
    <row r="6" spans="4:26" ht="21" customHeight="1">
      <c r="D6" s="198" t="s">
        <v>29</v>
      </c>
      <c r="E6" s="199"/>
      <c r="F6" s="33"/>
      <c r="G6" s="33"/>
      <c r="H6" s="33"/>
      <c r="I6" s="33"/>
      <c r="J6" s="33"/>
      <c r="K6" s="72" t="s">
        <v>28</v>
      </c>
      <c r="L6" s="72"/>
      <c r="M6" s="179">
        <f>ROUND((M5*M4),2)</f>
        <v>22591800</v>
      </c>
      <c r="N6" s="179"/>
      <c r="O6" s="150" t="s">
        <v>5</v>
      </c>
      <c r="P6" s="146" t="s">
        <v>40</v>
      </c>
      <c r="Q6" s="31"/>
      <c r="R6" s="31"/>
      <c r="S6" s="73"/>
      <c r="T6" s="73"/>
      <c r="U6" s="73"/>
      <c r="V6" s="73"/>
      <c r="W6" s="147" t="str">
        <f>VLOOKUP(W5,AC17:AD36,2,FALSE)</f>
        <v>ปกติ</v>
      </c>
      <c r="X6" s="7"/>
      <c r="Z6" s="49"/>
    </row>
    <row r="7" spans="4:24" ht="9" customHeight="1" thickBot="1">
      <c r="D7" s="151"/>
      <c r="E7" s="31"/>
      <c r="F7" s="34"/>
      <c r="G7" s="34"/>
      <c r="H7" s="34"/>
      <c r="I7" s="34"/>
      <c r="J7" s="34"/>
      <c r="K7" s="72"/>
      <c r="L7" s="72"/>
      <c r="M7" s="72"/>
      <c r="N7" s="115"/>
      <c r="O7" s="115"/>
      <c r="P7" s="7"/>
      <c r="Q7" s="72"/>
      <c r="R7" s="72"/>
      <c r="S7" s="7"/>
      <c r="T7" s="7"/>
      <c r="U7" s="7"/>
      <c r="V7" s="7"/>
      <c r="W7" s="7"/>
      <c r="X7" s="7"/>
    </row>
    <row r="8" spans="4:24" ht="9.75" customHeight="1" hidden="1" thickBot="1">
      <c r="D8" s="180"/>
      <c r="E8" s="180"/>
      <c r="F8" s="181"/>
      <c r="G8" s="181"/>
      <c r="H8" s="181"/>
      <c r="I8" s="181"/>
      <c r="J8" s="181"/>
      <c r="K8" s="180"/>
      <c r="L8" s="180"/>
      <c r="M8" s="180"/>
      <c r="N8" s="180"/>
      <c r="O8" s="180"/>
      <c r="P8" s="180"/>
      <c r="Q8" s="27"/>
      <c r="R8" s="27"/>
      <c r="S8" s="26"/>
      <c r="T8" s="26"/>
      <c r="U8" s="26"/>
      <c r="V8" s="26"/>
      <c r="W8" s="26"/>
      <c r="X8" s="26"/>
    </row>
    <row r="9" spans="4:31" s="4" customFormat="1" ht="22.5" customHeight="1">
      <c r="D9" s="171" t="s">
        <v>121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36"/>
      <c r="Z9" s="36"/>
      <c r="AA9" s="36"/>
      <c r="AB9" s="36"/>
      <c r="AC9" s="36"/>
      <c r="AD9" s="36"/>
      <c r="AE9" s="36"/>
    </row>
    <row r="10" spans="4:28" ht="4.5" customHeight="1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1"/>
      <c r="R10" s="31"/>
      <c r="S10" s="73"/>
      <c r="T10" s="73"/>
      <c r="U10" s="73"/>
      <c r="V10" s="73"/>
      <c r="W10" s="73"/>
      <c r="X10" s="73"/>
      <c r="AB10" s="47" t="s">
        <v>64</v>
      </c>
    </row>
    <row r="11" spans="4:28" ht="20.25">
      <c r="D11" s="73" t="s">
        <v>26</v>
      </c>
      <c r="E11" s="31"/>
      <c r="F11" s="73"/>
      <c r="G11" s="73"/>
      <c r="H11" s="73"/>
      <c r="I11" s="73"/>
      <c r="J11" s="73"/>
      <c r="K11" s="85">
        <v>0</v>
      </c>
      <c r="L11" s="31" t="s">
        <v>2</v>
      </c>
      <c r="M11" s="31" t="s">
        <v>0</v>
      </c>
      <c r="N11" s="73"/>
      <c r="O11" s="87">
        <v>7</v>
      </c>
      <c r="P11" s="73" t="s">
        <v>2</v>
      </c>
      <c r="Q11" s="31"/>
      <c r="R11" s="31"/>
      <c r="S11" s="73"/>
      <c r="T11" s="73"/>
      <c r="U11" s="73"/>
      <c r="V11" s="73"/>
      <c r="W11" s="73"/>
      <c r="X11" s="73"/>
      <c r="AB11" s="47" t="s">
        <v>65</v>
      </c>
    </row>
    <row r="12" spans="4:24" ht="20.25">
      <c r="D12" s="73" t="s">
        <v>27</v>
      </c>
      <c r="E12" s="31"/>
      <c r="F12" s="73"/>
      <c r="G12" s="73"/>
      <c r="H12" s="73"/>
      <c r="I12" s="73"/>
      <c r="J12" s="73"/>
      <c r="K12" s="84">
        <v>0</v>
      </c>
      <c r="L12" s="31" t="s">
        <v>2</v>
      </c>
      <c r="M12" s="31" t="s">
        <v>3</v>
      </c>
      <c r="N12" s="73"/>
      <c r="O12" s="86">
        <v>7</v>
      </c>
      <c r="P12" s="73" t="s">
        <v>2</v>
      </c>
      <c r="Q12" s="31"/>
      <c r="R12" s="31"/>
      <c r="S12" s="73"/>
      <c r="T12" s="73"/>
      <c r="U12" s="73"/>
      <c r="V12" s="73"/>
      <c r="W12" s="73"/>
      <c r="X12" s="73"/>
    </row>
    <row r="13" spans="4:24" ht="4.5" customHeight="1" thickBot="1">
      <c r="D13" s="34"/>
      <c r="E13" s="35"/>
      <c r="F13" s="34"/>
      <c r="G13" s="34"/>
      <c r="H13" s="34"/>
      <c r="I13" s="34"/>
      <c r="J13" s="34"/>
      <c r="K13" s="35"/>
      <c r="L13" s="35"/>
      <c r="M13" s="35"/>
      <c r="N13" s="34"/>
      <c r="O13" s="35"/>
      <c r="P13" s="34"/>
      <c r="Q13" s="35"/>
      <c r="R13" s="35"/>
      <c r="S13" s="34"/>
      <c r="T13" s="34"/>
      <c r="U13" s="34"/>
      <c r="V13" s="34"/>
      <c r="W13" s="34"/>
      <c r="X13" s="34"/>
    </row>
    <row r="14" spans="4:24" ht="21">
      <c r="D14" s="172" t="s">
        <v>67</v>
      </c>
      <c r="E14" s="174" t="s">
        <v>30</v>
      </c>
      <c r="F14" s="175"/>
      <c r="G14" s="175"/>
      <c r="H14" s="175"/>
      <c r="I14" s="175"/>
      <c r="J14" s="175"/>
      <c r="K14" s="175"/>
      <c r="L14" s="175"/>
      <c r="M14" s="175"/>
      <c r="N14" s="174" t="s">
        <v>14</v>
      </c>
      <c r="O14" s="174" t="s">
        <v>101</v>
      </c>
      <c r="P14" s="175" t="s">
        <v>1</v>
      </c>
      <c r="Q14" s="195" t="s">
        <v>31</v>
      </c>
      <c r="R14" s="197" t="s">
        <v>33</v>
      </c>
      <c r="S14" s="185" t="s">
        <v>32</v>
      </c>
      <c r="T14" s="189" t="s">
        <v>34</v>
      </c>
      <c r="U14" s="185" t="s">
        <v>35</v>
      </c>
      <c r="V14" s="117"/>
      <c r="W14" s="187" t="s">
        <v>37</v>
      </c>
      <c r="X14" s="191" t="s">
        <v>38</v>
      </c>
    </row>
    <row r="15" spans="4:24" ht="41.25" customHeight="1" thickBot="1">
      <c r="D15" s="173"/>
      <c r="E15" s="92" t="s">
        <v>16</v>
      </c>
      <c r="F15" s="93" t="s">
        <v>17</v>
      </c>
      <c r="G15" s="93" t="s">
        <v>18</v>
      </c>
      <c r="H15" s="93" t="s">
        <v>19</v>
      </c>
      <c r="I15" s="93" t="s">
        <v>20</v>
      </c>
      <c r="J15" s="93" t="s">
        <v>21</v>
      </c>
      <c r="K15" s="92" t="s">
        <v>22</v>
      </c>
      <c r="L15" s="92" t="s">
        <v>23</v>
      </c>
      <c r="M15" s="92" t="s">
        <v>24</v>
      </c>
      <c r="N15" s="176"/>
      <c r="O15" s="176"/>
      <c r="P15" s="176"/>
      <c r="Q15" s="196"/>
      <c r="R15" s="196"/>
      <c r="S15" s="186"/>
      <c r="T15" s="190"/>
      <c r="U15" s="186"/>
      <c r="V15" s="118" t="s">
        <v>36</v>
      </c>
      <c r="W15" s="188"/>
      <c r="X15" s="192"/>
    </row>
    <row r="16" spans="4:29" ht="20.25">
      <c r="D16" s="94" t="s">
        <v>150</v>
      </c>
      <c r="E16" s="95">
        <v>18.2361</v>
      </c>
      <c r="F16" s="96">
        <v>6</v>
      </c>
      <c r="G16" s="96">
        <v>3</v>
      </c>
      <c r="H16" s="97">
        <f aca="true" t="shared" si="0" ref="H16:H52">$K$11</f>
        <v>0</v>
      </c>
      <c r="I16" s="97">
        <f aca="true" t="shared" si="1" ref="I16:I52">$K$12</f>
        <v>0</v>
      </c>
      <c r="J16" s="98">
        <f aca="true" t="shared" si="2" ref="J16:J52">$O$11</f>
        <v>7</v>
      </c>
      <c r="K16" s="95">
        <f aca="true" t="shared" si="3" ref="K16:K52">(-1)*(J16/12)*((I16/100)+((F16+G16-1)*(H16/100))-(((H16+I16)/100)*((F16+1)/2))-(G16-1))</f>
        <v>1.1666666666666667</v>
      </c>
      <c r="L16" s="95">
        <v>5.5</v>
      </c>
      <c r="M16" s="95">
        <f aca="true" t="shared" si="4" ref="M16:M52">E16+K16+L16</f>
        <v>24.90276666666667</v>
      </c>
      <c r="N16" s="99">
        <f>1+(M16/100)</f>
        <v>1.2490276666666666</v>
      </c>
      <c r="O16" s="95">
        <f aca="true" t="shared" si="5" ref="O16:O52">1+($O$12/100)</f>
        <v>1.07</v>
      </c>
      <c r="P16" s="119">
        <f aca="true" t="shared" si="6" ref="P16:P52">ROUND(N16*O16,4)</f>
        <v>1.3365</v>
      </c>
      <c r="Q16" s="120">
        <v>18.0812</v>
      </c>
      <c r="R16" s="121">
        <v>1</v>
      </c>
      <c r="S16" s="122">
        <f>R16/12*Q16*F16/12</f>
        <v>0.7533833333333333</v>
      </c>
      <c r="T16" s="99">
        <f>R16/12*J16</f>
        <v>0.5833333333333333</v>
      </c>
      <c r="U16" s="122">
        <v>0.625</v>
      </c>
      <c r="V16" s="122">
        <f>S16+T16+U16</f>
        <v>1.9617166666666666</v>
      </c>
      <c r="W16" s="122">
        <f>ROUND((N16+V16/100)*O16,4)</f>
        <v>1.3574</v>
      </c>
      <c r="X16" s="123">
        <f>ROUND((N16+2*(V16/100))*O16,4)</f>
        <v>1.3784</v>
      </c>
      <c r="Z16" s="38" t="s">
        <v>6</v>
      </c>
      <c r="AA16" s="40">
        <f>M4/1000000</f>
        <v>18</v>
      </c>
      <c r="AB16" s="38"/>
      <c r="AC16" s="26" t="s">
        <v>40</v>
      </c>
    </row>
    <row r="17" spans="4:30" ht="20.25" hidden="1">
      <c r="D17" s="124">
        <v>5</v>
      </c>
      <c r="E17" s="102">
        <v>18.2361</v>
      </c>
      <c r="F17" s="103">
        <v>6</v>
      </c>
      <c r="G17" s="103">
        <v>3</v>
      </c>
      <c r="H17" s="104">
        <f t="shared" si="0"/>
        <v>0</v>
      </c>
      <c r="I17" s="104">
        <f t="shared" si="1"/>
        <v>0</v>
      </c>
      <c r="J17" s="105">
        <f t="shared" si="2"/>
        <v>7</v>
      </c>
      <c r="K17" s="102">
        <f>(-1)*(J17/12)*((I17/100)+((F17+G17-1)*(H17/100))-(((H17+I17)/100)*((F17+1)/2))-(G17-1))</f>
        <v>1.1666666666666667</v>
      </c>
      <c r="L17" s="102">
        <v>5.5</v>
      </c>
      <c r="M17" s="102">
        <f>E17+K17+L17</f>
        <v>24.90276666666667</v>
      </c>
      <c r="N17" s="106">
        <f>1+(M17/100)</f>
        <v>1.2490276666666666</v>
      </c>
      <c r="O17" s="102">
        <f t="shared" si="5"/>
        <v>1.07</v>
      </c>
      <c r="P17" s="125">
        <f>ROUND(N17*O17,4)</f>
        <v>1.3365</v>
      </c>
      <c r="Q17" s="126">
        <v>18.1</v>
      </c>
      <c r="R17" s="127">
        <v>1</v>
      </c>
      <c r="S17" s="128">
        <f>R17/12*Q17*F17/12</f>
        <v>0.7541666666666668</v>
      </c>
      <c r="T17" s="106">
        <f>R17/12*J17</f>
        <v>0.5833333333333333</v>
      </c>
      <c r="U17" s="128">
        <v>0.625</v>
      </c>
      <c r="V17" s="128">
        <f>S17+T17+U17</f>
        <v>1.9625</v>
      </c>
      <c r="W17" s="128">
        <f>ROUND((N17+V17/100)*O17,4)</f>
        <v>1.3575</v>
      </c>
      <c r="X17" s="129">
        <f>ROUND((N17+2*(V17/100))*O17,4)</f>
        <v>1.3785</v>
      </c>
      <c r="Z17" s="38" t="s">
        <v>7</v>
      </c>
      <c r="AA17" s="39">
        <f>VLOOKUP(AA16,D16:D51,1)</f>
        <v>10</v>
      </c>
      <c r="AB17" s="50">
        <f>IF($W$6=1,VLOOKUP(AA17,$D$17:$X$51,20,FALSE),IF($W$6=2,VLOOKUP(AA17,$D$17:$X$51,21,FALSE),VLOOKUP(AA17,$D$17:$X$51,13,FALSE)))</f>
        <v>1.2916</v>
      </c>
      <c r="AC17" s="26" t="s">
        <v>62</v>
      </c>
      <c r="AD17" s="26" t="s">
        <v>61</v>
      </c>
    </row>
    <row r="18" spans="4:30" ht="20.25">
      <c r="D18" s="101">
        <v>10</v>
      </c>
      <c r="E18" s="102">
        <v>14.041</v>
      </c>
      <c r="F18" s="103">
        <v>9</v>
      </c>
      <c r="G18" s="103">
        <v>3</v>
      </c>
      <c r="H18" s="104">
        <f t="shared" si="0"/>
        <v>0</v>
      </c>
      <c r="I18" s="104">
        <f t="shared" si="1"/>
        <v>0</v>
      </c>
      <c r="J18" s="105">
        <f t="shared" si="2"/>
        <v>7</v>
      </c>
      <c r="K18" s="102">
        <f t="shared" si="3"/>
        <v>1.1666666666666667</v>
      </c>
      <c r="L18" s="102">
        <v>5.5</v>
      </c>
      <c r="M18" s="102">
        <f t="shared" si="4"/>
        <v>20.707666666666668</v>
      </c>
      <c r="N18" s="106">
        <f aca="true" t="shared" si="7" ref="N18:N52">1+(M18/100)</f>
        <v>1.2070766666666666</v>
      </c>
      <c r="O18" s="102">
        <f t="shared" si="5"/>
        <v>1.07</v>
      </c>
      <c r="P18" s="125">
        <f t="shared" si="6"/>
        <v>1.2916</v>
      </c>
      <c r="Q18" s="126">
        <v>13.8472</v>
      </c>
      <c r="R18" s="127">
        <v>1</v>
      </c>
      <c r="S18" s="128">
        <f>R18/12*Q18*F18/12</f>
        <v>0.8654499999999999</v>
      </c>
      <c r="T18" s="106">
        <f>R18/12*J18</f>
        <v>0.5833333333333333</v>
      </c>
      <c r="U18" s="128">
        <v>0.625</v>
      </c>
      <c r="V18" s="128">
        <f>S18+T18+U18</f>
        <v>2.073783333333333</v>
      </c>
      <c r="W18" s="128">
        <f>ROUND((N18+V18/100)*O18,4)</f>
        <v>1.3138</v>
      </c>
      <c r="X18" s="129">
        <f aca="true" t="shared" si="8" ref="X18:X52">ROUND((N18+2*(V18/100))*O18,4)</f>
        <v>1.336</v>
      </c>
      <c r="Z18" s="38" t="s">
        <v>9</v>
      </c>
      <c r="AA18" s="41">
        <f>MATCH(AA17,D16:D51)</f>
        <v>3</v>
      </c>
      <c r="AB18" s="50"/>
      <c r="AC18" s="26" t="s">
        <v>42</v>
      </c>
      <c r="AD18" s="26">
        <v>1</v>
      </c>
    </row>
    <row r="19" spans="4:30" ht="20.25">
      <c r="D19" s="101">
        <v>20</v>
      </c>
      <c r="E19" s="102">
        <v>9.7858</v>
      </c>
      <c r="F19" s="103">
        <v>12</v>
      </c>
      <c r="G19" s="103">
        <v>3</v>
      </c>
      <c r="H19" s="104">
        <f t="shared" si="0"/>
        <v>0</v>
      </c>
      <c r="I19" s="104">
        <f t="shared" si="1"/>
        <v>0</v>
      </c>
      <c r="J19" s="105">
        <f t="shared" si="2"/>
        <v>7</v>
      </c>
      <c r="K19" s="102">
        <f t="shared" si="3"/>
        <v>1.1666666666666667</v>
      </c>
      <c r="L19" s="102">
        <v>5.5</v>
      </c>
      <c r="M19" s="102">
        <f t="shared" si="4"/>
        <v>16.452466666666666</v>
      </c>
      <c r="N19" s="106">
        <f t="shared" si="7"/>
        <v>1.1645246666666667</v>
      </c>
      <c r="O19" s="102">
        <f t="shared" si="5"/>
        <v>1.07</v>
      </c>
      <c r="P19" s="125">
        <f t="shared" si="6"/>
        <v>1.246</v>
      </c>
      <c r="Q19" s="126">
        <v>9.5602</v>
      </c>
      <c r="R19" s="127">
        <v>1</v>
      </c>
      <c r="S19" s="128">
        <f>R19/12*Q19*F19/12</f>
        <v>0.7966833333333333</v>
      </c>
      <c r="T19" s="106">
        <f>R19/12*J19</f>
        <v>0.5833333333333333</v>
      </c>
      <c r="U19" s="128">
        <v>0.625</v>
      </c>
      <c r="V19" s="128">
        <f>S19+T19+U19</f>
        <v>2.0050166666666667</v>
      </c>
      <c r="W19" s="128">
        <f aca="true" t="shared" si="9" ref="W19:W52">ROUND((N19+V19/100)*O19,4)</f>
        <v>1.2675</v>
      </c>
      <c r="X19" s="129">
        <f t="shared" si="8"/>
        <v>1.2889</v>
      </c>
      <c r="Z19" s="42" t="s">
        <v>10</v>
      </c>
      <c r="AA19" s="41">
        <f>AA18+1</f>
        <v>4</v>
      </c>
      <c r="AB19" s="51"/>
      <c r="AC19" s="26" t="s">
        <v>43</v>
      </c>
      <c r="AD19" s="26">
        <v>1</v>
      </c>
    </row>
    <row r="20" spans="4:30" ht="20.25">
      <c r="D20" s="101">
        <v>30</v>
      </c>
      <c r="E20" s="102">
        <v>6.9082</v>
      </c>
      <c r="F20" s="103">
        <v>12</v>
      </c>
      <c r="G20" s="103">
        <v>3</v>
      </c>
      <c r="H20" s="104">
        <f t="shared" si="0"/>
        <v>0</v>
      </c>
      <c r="I20" s="104">
        <f t="shared" si="1"/>
        <v>0</v>
      </c>
      <c r="J20" s="105">
        <f t="shared" si="2"/>
        <v>7</v>
      </c>
      <c r="K20" s="102">
        <f t="shared" si="3"/>
        <v>1.1666666666666667</v>
      </c>
      <c r="L20" s="102">
        <v>5.5</v>
      </c>
      <c r="M20" s="102">
        <f t="shared" si="4"/>
        <v>13.574866666666667</v>
      </c>
      <c r="N20" s="106">
        <f t="shared" si="7"/>
        <v>1.1357486666666667</v>
      </c>
      <c r="O20" s="102">
        <f t="shared" si="5"/>
        <v>1.07</v>
      </c>
      <c r="P20" s="125">
        <f t="shared" si="6"/>
        <v>1.2153</v>
      </c>
      <c r="Q20" s="126">
        <v>6.6839</v>
      </c>
      <c r="R20" s="127">
        <v>1</v>
      </c>
      <c r="S20" s="128">
        <f aca="true" t="shared" si="10" ref="S20:S52">R20/12*Q20*F20/12</f>
        <v>0.5569916666666667</v>
      </c>
      <c r="T20" s="106">
        <f aca="true" t="shared" si="11" ref="T20:T52">R20/12*J20</f>
        <v>0.5833333333333333</v>
      </c>
      <c r="U20" s="128">
        <v>0.625</v>
      </c>
      <c r="V20" s="128">
        <f aca="true" t="shared" si="12" ref="V20:V52">S20+T20+U20</f>
        <v>1.7653249999999998</v>
      </c>
      <c r="W20" s="128">
        <f t="shared" si="9"/>
        <v>1.2341</v>
      </c>
      <c r="X20" s="129">
        <f t="shared" si="8"/>
        <v>1.253</v>
      </c>
      <c r="Z20" s="38" t="s">
        <v>8</v>
      </c>
      <c r="AA20" s="41">
        <f>INDEX(D16:D51,AA19)</f>
        <v>20</v>
      </c>
      <c r="AB20" s="50">
        <f>IF($W$6=1,VLOOKUP(AA20,$D$17:$X$51,20,FALSE),IF($W$6=2,VLOOKUP(AA20,$D$17:$X$51,21,FALSE),VLOOKUP(AA20,$D$17:$X$51,13,FALSE)))</f>
        <v>1.246</v>
      </c>
      <c r="AC20" s="26" t="s">
        <v>44</v>
      </c>
      <c r="AD20" s="26">
        <v>1</v>
      </c>
    </row>
    <row r="21" spans="4:30" ht="20.25">
      <c r="D21" s="101">
        <v>40</v>
      </c>
      <c r="E21" s="102">
        <v>6.9899</v>
      </c>
      <c r="F21" s="103">
        <v>16</v>
      </c>
      <c r="G21" s="103">
        <v>3</v>
      </c>
      <c r="H21" s="104">
        <f t="shared" si="0"/>
        <v>0</v>
      </c>
      <c r="I21" s="104">
        <f t="shared" si="1"/>
        <v>0</v>
      </c>
      <c r="J21" s="105">
        <f t="shared" si="2"/>
        <v>7</v>
      </c>
      <c r="K21" s="102">
        <f t="shared" si="3"/>
        <v>1.1666666666666667</v>
      </c>
      <c r="L21" s="102">
        <v>5</v>
      </c>
      <c r="M21" s="102">
        <f t="shared" si="4"/>
        <v>13.156566666666667</v>
      </c>
      <c r="N21" s="106">
        <f t="shared" si="7"/>
        <v>1.1315656666666667</v>
      </c>
      <c r="O21" s="102">
        <f t="shared" si="5"/>
        <v>1.07</v>
      </c>
      <c r="P21" s="125">
        <f t="shared" si="6"/>
        <v>1.2108</v>
      </c>
      <c r="Q21" s="126">
        <v>6.7238</v>
      </c>
      <c r="R21" s="127">
        <v>1</v>
      </c>
      <c r="S21" s="128">
        <f t="shared" si="10"/>
        <v>0.7470888888888888</v>
      </c>
      <c r="T21" s="106">
        <f t="shared" si="11"/>
        <v>0.5833333333333333</v>
      </c>
      <c r="U21" s="128">
        <v>0.625</v>
      </c>
      <c r="V21" s="128">
        <f t="shared" si="12"/>
        <v>1.955422222222222</v>
      </c>
      <c r="W21" s="128">
        <f t="shared" si="9"/>
        <v>1.2317</v>
      </c>
      <c r="X21" s="129">
        <f t="shared" si="8"/>
        <v>1.2526</v>
      </c>
      <c r="Z21" s="38" t="s">
        <v>12</v>
      </c>
      <c r="AA21" s="41"/>
      <c r="AB21" s="50">
        <f>ROUND((AB17-((AB17-AB20)*(AA16-AA17)/(AA20-AA17))),4)</f>
        <v>1.2551</v>
      </c>
      <c r="AC21" s="26" t="s">
        <v>45</v>
      </c>
      <c r="AD21" s="26">
        <v>1</v>
      </c>
    </row>
    <row r="22" spans="4:30" ht="20.25">
      <c r="D22" s="101">
        <v>50</v>
      </c>
      <c r="E22" s="102">
        <v>6.4552</v>
      </c>
      <c r="F22" s="103">
        <v>18</v>
      </c>
      <c r="G22" s="103">
        <v>3</v>
      </c>
      <c r="H22" s="104">
        <f t="shared" si="0"/>
        <v>0</v>
      </c>
      <c r="I22" s="104">
        <f t="shared" si="1"/>
        <v>0</v>
      </c>
      <c r="J22" s="105">
        <f t="shared" si="2"/>
        <v>7</v>
      </c>
      <c r="K22" s="102">
        <f t="shared" si="3"/>
        <v>1.1666666666666667</v>
      </c>
      <c r="L22" s="102">
        <v>5</v>
      </c>
      <c r="M22" s="102">
        <f t="shared" si="4"/>
        <v>12.621866666666666</v>
      </c>
      <c r="N22" s="106">
        <f t="shared" si="7"/>
        <v>1.1262186666666667</v>
      </c>
      <c r="O22" s="102">
        <f t="shared" si="5"/>
        <v>1.07</v>
      </c>
      <c r="P22" s="125">
        <f t="shared" si="6"/>
        <v>1.2051</v>
      </c>
      <c r="Q22" s="126">
        <v>6.1674</v>
      </c>
      <c r="R22" s="127">
        <v>1</v>
      </c>
      <c r="S22" s="128">
        <f t="shared" si="10"/>
        <v>0.7709249999999997</v>
      </c>
      <c r="T22" s="106">
        <f t="shared" si="11"/>
        <v>0.5833333333333333</v>
      </c>
      <c r="U22" s="128">
        <v>0.625</v>
      </c>
      <c r="V22" s="128">
        <f t="shared" si="12"/>
        <v>1.9792583333333331</v>
      </c>
      <c r="W22" s="128">
        <f t="shared" si="9"/>
        <v>1.2262</v>
      </c>
      <c r="X22" s="129">
        <f t="shared" si="8"/>
        <v>1.2474</v>
      </c>
      <c r="Z22" s="38">
        <v>0</v>
      </c>
      <c r="AA22" s="43">
        <v>5</v>
      </c>
      <c r="AB22" s="38">
        <v>7</v>
      </c>
      <c r="AC22" s="26" t="s">
        <v>47</v>
      </c>
      <c r="AD22" s="26">
        <v>1</v>
      </c>
    </row>
    <row r="23" spans="4:30" ht="20.25">
      <c r="D23" s="101">
        <v>60</v>
      </c>
      <c r="E23" s="102">
        <v>5.5919</v>
      </c>
      <c r="F23" s="103">
        <v>18</v>
      </c>
      <c r="G23" s="103">
        <v>3</v>
      </c>
      <c r="H23" s="104">
        <f t="shared" si="0"/>
        <v>0</v>
      </c>
      <c r="I23" s="104">
        <f t="shared" si="1"/>
        <v>0</v>
      </c>
      <c r="J23" s="105">
        <f t="shared" si="2"/>
        <v>7</v>
      </c>
      <c r="K23" s="102">
        <f t="shared" si="3"/>
        <v>1.1666666666666667</v>
      </c>
      <c r="L23" s="102">
        <v>5</v>
      </c>
      <c r="M23" s="102">
        <f t="shared" si="4"/>
        <v>11.758566666666667</v>
      </c>
      <c r="N23" s="106">
        <f t="shared" si="7"/>
        <v>1.1175856666666666</v>
      </c>
      <c r="O23" s="102">
        <f t="shared" si="5"/>
        <v>1.07</v>
      </c>
      <c r="P23" s="125">
        <f t="shared" si="6"/>
        <v>1.1958</v>
      </c>
      <c r="Q23" s="126">
        <v>5.303</v>
      </c>
      <c r="R23" s="127">
        <v>1</v>
      </c>
      <c r="S23" s="128">
        <f t="shared" si="10"/>
        <v>0.662875</v>
      </c>
      <c r="T23" s="106">
        <f t="shared" si="11"/>
        <v>0.5833333333333333</v>
      </c>
      <c r="U23" s="128">
        <v>0.625</v>
      </c>
      <c r="V23" s="128">
        <f t="shared" si="12"/>
        <v>1.8712083333333331</v>
      </c>
      <c r="W23" s="128">
        <f t="shared" si="9"/>
        <v>1.2158</v>
      </c>
      <c r="X23" s="129">
        <f t="shared" si="8"/>
        <v>1.2359</v>
      </c>
      <c r="Z23" s="38">
        <v>5</v>
      </c>
      <c r="AA23" s="43">
        <v>6</v>
      </c>
      <c r="AB23" s="38">
        <v>10</v>
      </c>
      <c r="AC23" s="26" t="s">
        <v>48</v>
      </c>
      <c r="AD23" s="26">
        <v>1</v>
      </c>
    </row>
    <row r="24" spans="4:30" ht="20.25">
      <c r="D24" s="101">
        <v>70</v>
      </c>
      <c r="E24" s="102">
        <v>5.4048</v>
      </c>
      <c r="F24" s="103">
        <v>19</v>
      </c>
      <c r="G24" s="103">
        <v>3</v>
      </c>
      <c r="H24" s="104">
        <f t="shared" si="0"/>
        <v>0</v>
      </c>
      <c r="I24" s="104">
        <f t="shared" si="1"/>
        <v>0</v>
      </c>
      <c r="J24" s="105">
        <f t="shared" si="2"/>
        <v>7</v>
      </c>
      <c r="K24" s="102">
        <f t="shared" si="3"/>
        <v>1.1666666666666667</v>
      </c>
      <c r="L24" s="102">
        <v>4.5</v>
      </c>
      <c r="M24" s="102">
        <f t="shared" si="4"/>
        <v>11.071466666666666</v>
      </c>
      <c r="N24" s="106">
        <f t="shared" si="7"/>
        <v>1.1107146666666667</v>
      </c>
      <c r="O24" s="102">
        <f t="shared" si="5"/>
        <v>1.07</v>
      </c>
      <c r="P24" s="125">
        <f t="shared" si="6"/>
        <v>1.1885</v>
      </c>
      <c r="Q24" s="126">
        <v>5.107</v>
      </c>
      <c r="R24" s="127">
        <v>1</v>
      </c>
      <c r="S24" s="128">
        <f t="shared" si="10"/>
        <v>0.6738402777777778</v>
      </c>
      <c r="T24" s="106">
        <f t="shared" si="11"/>
        <v>0.5833333333333333</v>
      </c>
      <c r="U24" s="128">
        <v>0.625</v>
      </c>
      <c r="V24" s="128">
        <f t="shared" si="12"/>
        <v>1.882173611111111</v>
      </c>
      <c r="W24" s="128">
        <f t="shared" si="9"/>
        <v>1.2086</v>
      </c>
      <c r="X24" s="129">
        <f t="shared" si="8"/>
        <v>1.2287</v>
      </c>
      <c r="Z24" s="38">
        <v>10</v>
      </c>
      <c r="AA24" s="44">
        <v>7</v>
      </c>
      <c r="AB24" s="38"/>
      <c r="AC24" s="26" t="s">
        <v>50</v>
      </c>
      <c r="AD24" s="26">
        <v>1</v>
      </c>
    </row>
    <row r="25" spans="4:30" ht="20.25">
      <c r="D25" s="101">
        <v>80</v>
      </c>
      <c r="E25" s="102">
        <v>5.1508</v>
      </c>
      <c r="F25" s="103">
        <v>20</v>
      </c>
      <c r="G25" s="103">
        <v>3</v>
      </c>
      <c r="H25" s="104">
        <f t="shared" si="0"/>
        <v>0</v>
      </c>
      <c r="I25" s="104">
        <f t="shared" si="1"/>
        <v>0</v>
      </c>
      <c r="J25" s="105">
        <f t="shared" si="2"/>
        <v>7</v>
      </c>
      <c r="K25" s="102">
        <f t="shared" si="3"/>
        <v>1.1666666666666667</v>
      </c>
      <c r="L25" s="102">
        <v>4.5</v>
      </c>
      <c r="M25" s="102">
        <f t="shared" si="4"/>
        <v>10.817466666666668</v>
      </c>
      <c r="N25" s="106">
        <f t="shared" si="7"/>
        <v>1.1081746666666668</v>
      </c>
      <c r="O25" s="102">
        <f t="shared" si="5"/>
        <v>1.07</v>
      </c>
      <c r="P25" s="125">
        <f t="shared" si="6"/>
        <v>1.1857</v>
      </c>
      <c r="Q25" s="126">
        <v>4.8426</v>
      </c>
      <c r="R25" s="127">
        <v>1</v>
      </c>
      <c r="S25" s="128">
        <f t="shared" si="10"/>
        <v>0.6725833333333333</v>
      </c>
      <c r="T25" s="106">
        <f t="shared" si="11"/>
        <v>0.5833333333333333</v>
      </c>
      <c r="U25" s="128">
        <v>0.625</v>
      </c>
      <c r="V25" s="128">
        <f t="shared" si="12"/>
        <v>1.8809166666666666</v>
      </c>
      <c r="W25" s="128">
        <f t="shared" si="9"/>
        <v>1.2059</v>
      </c>
      <c r="X25" s="129">
        <f t="shared" si="8"/>
        <v>1.226</v>
      </c>
      <c r="Z25" s="38">
        <v>15</v>
      </c>
      <c r="AA25" s="44">
        <v>8</v>
      </c>
      <c r="AB25" s="38"/>
      <c r="AC25" s="26" t="s">
        <v>51</v>
      </c>
      <c r="AD25" s="26">
        <v>1</v>
      </c>
    </row>
    <row r="26" spans="4:30" ht="20.25">
      <c r="D26" s="101">
        <v>90</v>
      </c>
      <c r="E26" s="102">
        <v>4.7692</v>
      </c>
      <c r="F26" s="103">
        <v>20</v>
      </c>
      <c r="G26" s="103">
        <v>3</v>
      </c>
      <c r="H26" s="104">
        <f t="shared" si="0"/>
        <v>0</v>
      </c>
      <c r="I26" s="104">
        <f t="shared" si="1"/>
        <v>0</v>
      </c>
      <c r="J26" s="105">
        <f t="shared" si="2"/>
        <v>7</v>
      </c>
      <c r="K26" s="102">
        <f t="shared" si="3"/>
        <v>1.1666666666666667</v>
      </c>
      <c r="L26" s="102">
        <v>4.5</v>
      </c>
      <c r="M26" s="102">
        <f t="shared" si="4"/>
        <v>10.435866666666666</v>
      </c>
      <c r="N26" s="106">
        <f t="shared" si="7"/>
        <v>1.1043586666666667</v>
      </c>
      <c r="O26" s="102">
        <f t="shared" si="5"/>
        <v>1.07</v>
      </c>
      <c r="P26" s="125">
        <f t="shared" si="6"/>
        <v>1.1817</v>
      </c>
      <c r="Q26" s="126">
        <v>4.4597</v>
      </c>
      <c r="R26" s="127">
        <v>1</v>
      </c>
      <c r="S26" s="128">
        <f t="shared" si="10"/>
        <v>0.6194027777777777</v>
      </c>
      <c r="T26" s="106">
        <f t="shared" si="11"/>
        <v>0.5833333333333333</v>
      </c>
      <c r="U26" s="128">
        <v>0.625</v>
      </c>
      <c r="V26" s="128">
        <f t="shared" si="12"/>
        <v>1.827736111111111</v>
      </c>
      <c r="W26" s="128">
        <f t="shared" si="9"/>
        <v>1.2012</v>
      </c>
      <c r="X26" s="129">
        <f t="shared" si="8"/>
        <v>1.2208</v>
      </c>
      <c r="Z26" s="38"/>
      <c r="AA26" s="43">
        <v>9</v>
      </c>
      <c r="AB26" s="38"/>
      <c r="AC26" s="26" t="s">
        <v>53</v>
      </c>
      <c r="AD26" s="26">
        <v>1</v>
      </c>
    </row>
    <row r="27" spans="4:30" ht="20.25">
      <c r="D27" s="101">
        <v>100</v>
      </c>
      <c r="E27" s="102">
        <v>4.4639</v>
      </c>
      <c r="F27" s="103">
        <v>20</v>
      </c>
      <c r="G27" s="103">
        <v>3</v>
      </c>
      <c r="H27" s="104">
        <f t="shared" si="0"/>
        <v>0</v>
      </c>
      <c r="I27" s="104">
        <f t="shared" si="1"/>
        <v>0</v>
      </c>
      <c r="J27" s="105">
        <f t="shared" si="2"/>
        <v>7</v>
      </c>
      <c r="K27" s="102">
        <f t="shared" si="3"/>
        <v>1.1666666666666667</v>
      </c>
      <c r="L27" s="102">
        <v>4.5</v>
      </c>
      <c r="M27" s="102">
        <f t="shared" si="4"/>
        <v>10.130566666666667</v>
      </c>
      <c r="N27" s="106">
        <f t="shared" si="7"/>
        <v>1.1013056666666667</v>
      </c>
      <c r="O27" s="102">
        <f t="shared" si="5"/>
        <v>1.07</v>
      </c>
      <c r="P27" s="125">
        <f t="shared" si="6"/>
        <v>1.1784</v>
      </c>
      <c r="Q27" s="126">
        <v>4.1556</v>
      </c>
      <c r="R27" s="127">
        <v>1</v>
      </c>
      <c r="S27" s="128">
        <f t="shared" si="10"/>
        <v>0.5771666666666665</v>
      </c>
      <c r="T27" s="106">
        <f t="shared" si="11"/>
        <v>0.5833333333333333</v>
      </c>
      <c r="U27" s="128">
        <v>0.625</v>
      </c>
      <c r="V27" s="128">
        <f t="shared" si="12"/>
        <v>1.7854999999999999</v>
      </c>
      <c r="W27" s="128">
        <f t="shared" si="9"/>
        <v>1.1975</v>
      </c>
      <c r="X27" s="129">
        <f t="shared" si="8"/>
        <v>1.2166</v>
      </c>
      <c r="Z27" s="38"/>
      <c r="AA27" s="43">
        <v>10</v>
      </c>
      <c r="AB27" s="38"/>
      <c r="AC27" s="26" t="s">
        <v>57</v>
      </c>
      <c r="AD27" s="26">
        <v>1</v>
      </c>
    </row>
    <row r="28" spans="4:30" ht="20.25">
      <c r="D28" s="101">
        <v>110</v>
      </c>
      <c r="E28" s="102">
        <v>4.3795</v>
      </c>
      <c r="F28" s="103">
        <v>21</v>
      </c>
      <c r="G28" s="103">
        <v>3</v>
      </c>
      <c r="H28" s="104">
        <f t="shared" si="0"/>
        <v>0</v>
      </c>
      <c r="I28" s="104">
        <f t="shared" si="1"/>
        <v>0</v>
      </c>
      <c r="J28" s="105">
        <f t="shared" si="2"/>
        <v>7</v>
      </c>
      <c r="K28" s="102">
        <f t="shared" si="3"/>
        <v>1.1666666666666667</v>
      </c>
      <c r="L28" s="102">
        <v>4</v>
      </c>
      <c r="M28" s="102">
        <f t="shared" si="4"/>
        <v>9.546166666666668</v>
      </c>
      <c r="N28" s="106">
        <f t="shared" si="7"/>
        <v>1.0954616666666668</v>
      </c>
      <c r="O28" s="102">
        <f t="shared" si="5"/>
        <v>1.07</v>
      </c>
      <c r="P28" s="125">
        <f t="shared" si="6"/>
        <v>1.1721</v>
      </c>
      <c r="Q28" s="126">
        <v>4.0605</v>
      </c>
      <c r="R28" s="127">
        <v>1</v>
      </c>
      <c r="S28" s="128">
        <f t="shared" si="10"/>
        <v>0.5921562499999999</v>
      </c>
      <c r="T28" s="106">
        <f t="shared" si="11"/>
        <v>0.5833333333333333</v>
      </c>
      <c r="U28" s="128">
        <v>0.625</v>
      </c>
      <c r="V28" s="128">
        <f t="shared" si="12"/>
        <v>1.8004895833333332</v>
      </c>
      <c r="W28" s="128">
        <f t="shared" si="9"/>
        <v>1.1914</v>
      </c>
      <c r="X28" s="129">
        <f t="shared" si="8"/>
        <v>1.2107</v>
      </c>
      <c r="AC28" s="26" t="s">
        <v>58</v>
      </c>
      <c r="AD28" s="26">
        <v>1</v>
      </c>
    </row>
    <row r="29" spans="4:30" ht="20.25">
      <c r="D29" s="101">
        <v>120</v>
      </c>
      <c r="E29" s="102">
        <v>4.3158</v>
      </c>
      <c r="F29" s="103">
        <v>22</v>
      </c>
      <c r="G29" s="103">
        <v>3</v>
      </c>
      <c r="H29" s="104">
        <f t="shared" si="0"/>
        <v>0</v>
      </c>
      <c r="I29" s="104">
        <f t="shared" si="1"/>
        <v>0</v>
      </c>
      <c r="J29" s="105">
        <f t="shared" si="2"/>
        <v>7</v>
      </c>
      <c r="K29" s="102">
        <f t="shared" si="3"/>
        <v>1.1666666666666667</v>
      </c>
      <c r="L29" s="102">
        <v>4</v>
      </c>
      <c r="M29" s="102">
        <f t="shared" si="4"/>
        <v>9.482466666666667</v>
      </c>
      <c r="N29" s="106">
        <f t="shared" si="7"/>
        <v>1.0948246666666668</v>
      </c>
      <c r="O29" s="102">
        <f t="shared" si="5"/>
        <v>1.07</v>
      </c>
      <c r="P29" s="125">
        <f t="shared" si="6"/>
        <v>1.1715</v>
      </c>
      <c r="Q29" s="126">
        <v>3.9862</v>
      </c>
      <c r="R29" s="127">
        <v>1</v>
      </c>
      <c r="S29" s="128">
        <f t="shared" si="10"/>
        <v>0.6090027777777778</v>
      </c>
      <c r="T29" s="106">
        <f t="shared" si="11"/>
        <v>0.5833333333333333</v>
      </c>
      <c r="U29" s="128">
        <v>0.625</v>
      </c>
      <c r="V29" s="128">
        <f t="shared" si="12"/>
        <v>1.817336111111111</v>
      </c>
      <c r="W29" s="128">
        <f t="shared" si="9"/>
        <v>1.1909</v>
      </c>
      <c r="X29" s="129">
        <f t="shared" si="8"/>
        <v>1.2104</v>
      </c>
      <c r="AC29" s="26" t="s">
        <v>59</v>
      </c>
      <c r="AD29" s="26">
        <v>1</v>
      </c>
    </row>
    <row r="30" spans="4:30" ht="20.25">
      <c r="D30" s="101">
        <v>130</v>
      </c>
      <c r="E30" s="102">
        <v>4.1221</v>
      </c>
      <c r="F30" s="103">
        <v>22</v>
      </c>
      <c r="G30" s="103">
        <v>3</v>
      </c>
      <c r="H30" s="104">
        <f t="shared" si="0"/>
        <v>0</v>
      </c>
      <c r="I30" s="104">
        <f t="shared" si="1"/>
        <v>0</v>
      </c>
      <c r="J30" s="105">
        <f t="shared" si="2"/>
        <v>7</v>
      </c>
      <c r="K30" s="102">
        <f t="shared" si="3"/>
        <v>1.1666666666666667</v>
      </c>
      <c r="L30" s="102">
        <v>4</v>
      </c>
      <c r="M30" s="102">
        <f t="shared" si="4"/>
        <v>9.288766666666668</v>
      </c>
      <c r="N30" s="106">
        <f t="shared" si="7"/>
        <v>1.0928876666666667</v>
      </c>
      <c r="O30" s="102">
        <f t="shared" si="5"/>
        <v>1.07</v>
      </c>
      <c r="P30" s="125">
        <f t="shared" si="6"/>
        <v>1.1694</v>
      </c>
      <c r="Q30" s="126">
        <v>3.7932</v>
      </c>
      <c r="R30" s="127">
        <v>1</v>
      </c>
      <c r="S30" s="128">
        <f t="shared" si="10"/>
        <v>0.5795166666666667</v>
      </c>
      <c r="T30" s="106">
        <f t="shared" si="11"/>
        <v>0.5833333333333333</v>
      </c>
      <c r="U30" s="128">
        <v>0.625</v>
      </c>
      <c r="V30" s="128">
        <f t="shared" si="12"/>
        <v>1.78785</v>
      </c>
      <c r="W30" s="128">
        <f t="shared" si="9"/>
        <v>1.1885</v>
      </c>
      <c r="X30" s="129">
        <f t="shared" si="8"/>
        <v>1.2076</v>
      </c>
      <c r="AC30" s="26" t="s">
        <v>60</v>
      </c>
      <c r="AD30" s="26">
        <v>1</v>
      </c>
    </row>
    <row r="31" spans="4:30" ht="20.25">
      <c r="D31" s="101">
        <v>140</v>
      </c>
      <c r="E31" s="102">
        <v>3.956</v>
      </c>
      <c r="F31" s="103">
        <v>22</v>
      </c>
      <c r="G31" s="103">
        <v>3</v>
      </c>
      <c r="H31" s="104">
        <f t="shared" si="0"/>
        <v>0</v>
      </c>
      <c r="I31" s="104">
        <f t="shared" si="1"/>
        <v>0</v>
      </c>
      <c r="J31" s="105">
        <f t="shared" si="2"/>
        <v>7</v>
      </c>
      <c r="K31" s="102">
        <f aca="true" t="shared" si="13" ref="K31:K37">(-1)*(J31/12)*((I31/100)+((F31+G31-1)*(H31/100))-(((H31+I31)/100)*((F31+1)/2))-(G31-1))</f>
        <v>1.1666666666666667</v>
      </c>
      <c r="L31" s="102">
        <v>4</v>
      </c>
      <c r="M31" s="102">
        <f t="shared" si="4"/>
        <v>9.122666666666667</v>
      </c>
      <c r="N31" s="106">
        <f t="shared" si="7"/>
        <v>1.0912266666666666</v>
      </c>
      <c r="O31" s="102">
        <f t="shared" si="5"/>
        <v>1.07</v>
      </c>
      <c r="P31" s="125">
        <f t="shared" si="6"/>
        <v>1.1676</v>
      </c>
      <c r="Q31" s="126">
        <v>3.6258</v>
      </c>
      <c r="R31" s="127">
        <v>1</v>
      </c>
      <c r="S31" s="128">
        <f t="shared" si="10"/>
        <v>0.5539416666666667</v>
      </c>
      <c r="T31" s="106">
        <f t="shared" si="11"/>
        <v>0.5833333333333333</v>
      </c>
      <c r="U31" s="128">
        <v>0.625</v>
      </c>
      <c r="V31" s="128">
        <f t="shared" si="12"/>
        <v>1.7622749999999998</v>
      </c>
      <c r="W31" s="128">
        <f t="shared" si="9"/>
        <v>1.1865</v>
      </c>
      <c r="X31" s="129">
        <f t="shared" si="8"/>
        <v>1.2053</v>
      </c>
      <c r="AC31" s="26" t="s">
        <v>46</v>
      </c>
      <c r="AD31" s="26">
        <v>2</v>
      </c>
    </row>
    <row r="32" spans="4:30" ht="20.25">
      <c r="D32" s="101">
        <v>150</v>
      </c>
      <c r="E32" s="102">
        <v>3.8121</v>
      </c>
      <c r="F32" s="103">
        <v>22</v>
      </c>
      <c r="G32" s="103">
        <v>3</v>
      </c>
      <c r="H32" s="104">
        <f t="shared" si="0"/>
        <v>0</v>
      </c>
      <c r="I32" s="104">
        <f t="shared" si="1"/>
        <v>0</v>
      </c>
      <c r="J32" s="105">
        <f t="shared" si="2"/>
        <v>7</v>
      </c>
      <c r="K32" s="102">
        <f t="shared" si="13"/>
        <v>1.1666666666666667</v>
      </c>
      <c r="L32" s="102">
        <v>4</v>
      </c>
      <c r="M32" s="102">
        <f t="shared" si="4"/>
        <v>8.978766666666667</v>
      </c>
      <c r="N32" s="106">
        <f t="shared" si="7"/>
        <v>1.0897876666666666</v>
      </c>
      <c r="O32" s="102">
        <f t="shared" si="5"/>
        <v>1.07</v>
      </c>
      <c r="P32" s="125">
        <f t="shared" si="6"/>
        <v>1.1661</v>
      </c>
      <c r="Q32" s="126">
        <v>3.4832</v>
      </c>
      <c r="R32" s="127">
        <v>1</v>
      </c>
      <c r="S32" s="128">
        <f t="shared" si="10"/>
        <v>0.5321555555555556</v>
      </c>
      <c r="T32" s="106">
        <f t="shared" si="11"/>
        <v>0.5833333333333333</v>
      </c>
      <c r="U32" s="128">
        <v>0.625</v>
      </c>
      <c r="V32" s="128">
        <f t="shared" si="12"/>
        <v>1.7404888888888888</v>
      </c>
      <c r="W32" s="128">
        <f t="shared" si="9"/>
        <v>1.1847</v>
      </c>
      <c r="X32" s="129">
        <f t="shared" si="8"/>
        <v>1.2033</v>
      </c>
      <c r="AC32" s="26" t="s">
        <v>49</v>
      </c>
      <c r="AD32" s="26">
        <v>2</v>
      </c>
    </row>
    <row r="33" spans="4:30" ht="20.25">
      <c r="D33" s="101">
        <v>160</v>
      </c>
      <c r="E33" s="102">
        <v>3.7934</v>
      </c>
      <c r="F33" s="103">
        <v>22</v>
      </c>
      <c r="G33" s="103">
        <v>3</v>
      </c>
      <c r="H33" s="104">
        <f t="shared" si="0"/>
        <v>0</v>
      </c>
      <c r="I33" s="104">
        <f t="shared" si="1"/>
        <v>0</v>
      </c>
      <c r="J33" s="105">
        <f t="shared" si="2"/>
        <v>7</v>
      </c>
      <c r="K33" s="102">
        <f t="shared" si="13"/>
        <v>1.1666666666666667</v>
      </c>
      <c r="L33" s="102">
        <v>4</v>
      </c>
      <c r="M33" s="102">
        <f t="shared" si="4"/>
        <v>8.960066666666666</v>
      </c>
      <c r="N33" s="106">
        <f t="shared" si="7"/>
        <v>1.0896006666666667</v>
      </c>
      <c r="O33" s="102">
        <f t="shared" si="5"/>
        <v>1.07</v>
      </c>
      <c r="P33" s="125">
        <f t="shared" si="6"/>
        <v>1.1659</v>
      </c>
      <c r="Q33" s="126">
        <v>3.464</v>
      </c>
      <c r="R33" s="127">
        <v>1</v>
      </c>
      <c r="S33" s="128">
        <f t="shared" si="10"/>
        <v>0.5292222222222221</v>
      </c>
      <c r="T33" s="106">
        <f t="shared" si="11"/>
        <v>0.5833333333333333</v>
      </c>
      <c r="U33" s="128">
        <v>0.625</v>
      </c>
      <c r="V33" s="128">
        <f t="shared" si="12"/>
        <v>1.7375555555555553</v>
      </c>
      <c r="W33" s="128">
        <f t="shared" si="9"/>
        <v>1.1845</v>
      </c>
      <c r="X33" s="129">
        <f t="shared" si="8"/>
        <v>1.2031</v>
      </c>
      <c r="AC33" s="26" t="s">
        <v>52</v>
      </c>
      <c r="AD33" s="26">
        <v>2</v>
      </c>
    </row>
    <row r="34" spans="4:30" ht="20.25">
      <c r="D34" s="101">
        <v>170</v>
      </c>
      <c r="E34" s="102">
        <v>3.7057</v>
      </c>
      <c r="F34" s="103">
        <v>22</v>
      </c>
      <c r="G34" s="103">
        <v>3</v>
      </c>
      <c r="H34" s="104">
        <f t="shared" si="0"/>
        <v>0</v>
      </c>
      <c r="I34" s="104">
        <f t="shared" si="1"/>
        <v>0</v>
      </c>
      <c r="J34" s="105">
        <f t="shared" si="2"/>
        <v>7</v>
      </c>
      <c r="K34" s="102">
        <f t="shared" si="13"/>
        <v>1.1666666666666667</v>
      </c>
      <c r="L34" s="102">
        <v>4</v>
      </c>
      <c r="M34" s="102">
        <f t="shared" si="4"/>
        <v>8.872366666666668</v>
      </c>
      <c r="N34" s="106">
        <f t="shared" si="7"/>
        <v>1.0887236666666666</v>
      </c>
      <c r="O34" s="102">
        <f t="shared" si="5"/>
        <v>1.07</v>
      </c>
      <c r="P34" s="125">
        <f t="shared" si="6"/>
        <v>1.1649</v>
      </c>
      <c r="Q34" s="126">
        <v>3.3761</v>
      </c>
      <c r="R34" s="127">
        <v>1</v>
      </c>
      <c r="S34" s="128">
        <f t="shared" si="10"/>
        <v>0.5157930555555555</v>
      </c>
      <c r="T34" s="106">
        <f t="shared" si="11"/>
        <v>0.5833333333333333</v>
      </c>
      <c r="U34" s="128">
        <v>0.625</v>
      </c>
      <c r="V34" s="128">
        <f t="shared" si="12"/>
        <v>1.7241263888888887</v>
      </c>
      <c r="W34" s="128">
        <f t="shared" si="9"/>
        <v>1.1834</v>
      </c>
      <c r="X34" s="129">
        <f t="shared" si="8"/>
        <v>1.2018</v>
      </c>
      <c r="AC34" s="26" t="s">
        <v>54</v>
      </c>
      <c r="AD34" s="26">
        <v>2</v>
      </c>
    </row>
    <row r="35" spans="4:30" ht="20.25">
      <c r="D35" s="101">
        <v>180</v>
      </c>
      <c r="E35" s="102">
        <v>3.6034</v>
      </c>
      <c r="F35" s="103">
        <v>22</v>
      </c>
      <c r="G35" s="103">
        <v>3</v>
      </c>
      <c r="H35" s="104">
        <f t="shared" si="0"/>
        <v>0</v>
      </c>
      <c r="I35" s="104">
        <f t="shared" si="1"/>
        <v>0</v>
      </c>
      <c r="J35" s="105">
        <f t="shared" si="2"/>
        <v>7</v>
      </c>
      <c r="K35" s="102">
        <f t="shared" si="13"/>
        <v>1.1666666666666667</v>
      </c>
      <c r="L35" s="102">
        <v>4</v>
      </c>
      <c r="M35" s="102">
        <f t="shared" si="4"/>
        <v>8.770066666666667</v>
      </c>
      <c r="N35" s="106">
        <f t="shared" si="7"/>
        <v>1.0877006666666666</v>
      </c>
      <c r="O35" s="102">
        <f t="shared" si="5"/>
        <v>1.07</v>
      </c>
      <c r="P35" s="125">
        <f>ROUND(N35*O35,4)</f>
        <v>1.1638</v>
      </c>
      <c r="Q35" s="126">
        <v>3.2745</v>
      </c>
      <c r="R35" s="127">
        <v>1</v>
      </c>
      <c r="S35" s="128">
        <f t="shared" si="10"/>
        <v>0.5002708333333333</v>
      </c>
      <c r="T35" s="106">
        <f t="shared" si="11"/>
        <v>0.5833333333333333</v>
      </c>
      <c r="U35" s="128">
        <v>0.625</v>
      </c>
      <c r="V35" s="128">
        <f t="shared" si="12"/>
        <v>1.7086041666666665</v>
      </c>
      <c r="W35" s="128">
        <f t="shared" si="9"/>
        <v>1.1821</v>
      </c>
      <c r="X35" s="129">
        <f t="shared" si="8"/>
        <v>1.2004</v>
      </c>
      <c r="AC35" s="26" t="s">
        <v>55</v>
      </c>
      <c r="AD35" s="26">
        <v>2</v>
      </c>
    </row>
    <row r="36" spans="4:30" ht="20.25">
      <c r="D36" s="101">
        <v>190</v>
      </c>
      <c r="E36" s="102">
        <v>3.6301</v>
      </c>
      <c r="F36" s="103">
        <v>23</v>
      </c>
      <c r="G36" s="103">
        <v>3</v>
      </c>
      <c r="H36" s="104">
        <f t="shared" si="0"/>
        <v>0</v>
      </c>
      <c r="I36" s="104">
        <f t="shared" si="1"/>
        <v>0</v>
      </c>
      <c r="J36" s="105">
        <f t="shared" si="2"/>
        <v>7</v>
      </c>
      <c r="K36" s="102">
        <f t="shared" si="13"/>
        <v>1.1666666666666667</v>
      </c>
      <c r="L36" s="102">
        <v>3.5</v>
      </c>
      <c r="M36" s="102">
        <f t="shared" si="4"/>
        <v>8.296766666666667</v>
      </c>
      <c r="N36" s="106">
        <f t="shared" si="7"/>
        <v>1.0829676666666668</v>
      </c>
      <c r="O36" s="102">
        <f t="shared" si="5"/>
        <v>1.07</v>
      </c>
      <c r="P36" s="125">
        <f>ROUND(N36*O36,4)</f>
        <v>1.1588</v>
      </c>
      <c r="Q36" s="126">
        <v>3.2907</v>
      </c>
      <c r="R36" s="127">
        <v>1</v>
      </c>
      <c r="S36" s="128">
        <f t="shared" si="10"/>
        <v>0.5255979166666667</v>
      </c>
      <c r="T36" s="106">
        <f t="shared" si="11"/>
        <v>0.5833333333333333</v>
      </c>
      <c r="U36" s="128">
        <v>0.625</v>
      </c>
      <c r="V36" s="128">
        <f t="shared" si="12"/>
        <v>1.73393125</v>
      </c>
      <c r="W36" s="128">
        <f t="shared" si="9"/>
        <v>1.1773</v>
      </c>
      <c r="X36" s="129">
        <f t="shared" si="8"/>
        <v>1.1959</v>
      </c>
      <c r="AC36" s="26" t="s">
        <v>56</v>
      </c>
      <c r="AD36" s="26">
        <v>2</v>
      </c>
    </row>
    <row r="37" spans="4:30" ht="20.25">
      <c r="D37" s="101">
        <v>200</v>
      </c>
      <c r="E37" s="102">
        <v>3.544</v>
      </c>
      <c r="F37" s="103">
        <v>23</v>
      </c>
      <c r="G37" s="103">
        <v>3</v>
      </c>
      <c r="H37" s="104">
        <f t="shared" si="0"/>
        <v>0</v>
      </c>
      <c r="I37" s="104">
        <f t="shared" si="1"/>
        <v>0</v>
      </c>
      <c r="J37" s="105">
        <f t="shared" si="2"/>
        <v>7</v>
      </c>
      <c r="K37" s="102">
        <f t="shared" si="13"/>
        <v>1.1666666666666667</v>
      </c>
      <c r="L37" s="102">
        <v>3.5</v>
      </c>
      <c r="M37" s="102">
        <f t="shared" si="4"/>
        <v>8.210666666666667</v>
      </c>
      <c r="N37" s="106">
        <f t="shared" si="7"/>
        <v>1.0821066666666668</v>
      </c>
      <c r="O37" s="102">
        <f t="shared" si="5"/>
        <v>1.07</v>
      </c>
      <c r="P37" s="125">
        <f>ROUND(N37*O37,4)</f>
        <v>1.1579</v>
      </c>
      <c r="Q37" s="126">
        <v>3.2045</v>
      </c>
      <c r="R37" s="127">
        <v>1</v>
      </c>
      <c r="S37" s="128">
        <f t="shared" si="10"/>
        <v>0.5118298611111111</v>
      </c>
      <c r="T37" s="106">
        <f t="shared" si="11"/>
        <v>0.5833333333333333</v>
      </c>
      <c r="U37" s="128">
        <v>0.625</v>
      </c>
      <c r="V37" s="128">
        <f t="shared" si="12"/>
        <v>1.7201631944444444</v>
      </c>
      <c r="W37" s="128">
        <f t="shared" si="9"/>
        <v>1.1763</v>
      </c>
      <c r="X37" s="129">
        <f t="shared" si="8"/>
        <v>1.1947</v>
      </c>
      <c r="AC37" s="26" t="s">
        <v>63</v>
      </c>
      <c r="AD37" s="26">
        <v>3</v>
      </c>
    </row>
    <row r="38" spans="4:24" ht="20.25">
      <c r="D38" s="101">
        <v>210</v>
      </c>
      <c r="E38" s="102">
        <v>3.466</v>
      </c>
      <c r="F38" s="103">
        <v>23</v>
      </c>
      <c r="G38" s="103">
        <v>3</v>
      </c>
      <c r="H38" s="104">
        <f t="shared" si="0"/>
        <v>0</v>
      </c>
      <c r="I38" s="104">
        <f t="shared" si="1"/>
        <v>0</v>
      </c>
      <c r="J38" s="105">
        <f t="shared" si="2"/>
        <v>7</v>
      </c>
      <c r="K38" s="102">
        <f t="shared" si="3"/>
        <v>1.1666666666666667</v>
      </c>
      <c r="L38" s="102">
        <v>3.5</v>
      </c>
      <c r="M38" s="102">
        <f t="shared" si="4"/>
        <v>8.132666666666667</v>
      </c>
      <c r="N38" s="106">
        <f t="shared" si="7"/>
        <v>1.0813266666666668</v>
      </c>
      <c r="O38" s="102">
        <f t="shared" si="5"/>
        <v>1.07</v>
      </c>
      <c r="P38" s="125">
        <f t="shared" si="6"/>
        <v>1.157</v>
      </c>
      <c r="Q38" s="126">
        <v>3.1264</v>
      </c>
      <c r="R38" s="127">
        <v>1</v>
      </c>
      <c r="S38" s="128">
        <f t="shared" si="10"/>
        <v>0.4993555555555555</v>
      </c>
      <c r="T38" s="106">
        <f t="shared" si="11"/>
        <v>0.5833333333333333</v>
      </c>
      <c r="U38" s="128">
        <v>0.625</v>
      </c>
      <c r="V38" s="128">
        <f t="shared" si="12"/>
        <v>1.7076888888888888</v>
      </c>
      <c r="W38" s="128">
        <f t="shared" si="9"/>
        <v>1.1753</v>
      </c>
      <c r="X38" s="129">
        <f t="shared" si="8"/>
        <v>1.1936</v>
      </c>
    </row>
    <row r="39" spans="4:24" ht="20.25">
      <c r="D39" s="101">
        <v>220</v>
      </c>
      <c r="E39" s="102">
        <v>3.3951</v>
      </c>
      <c r="F39" s="103">
        <v>23</v>
      </c>
      <c r="G39" s="103">
        <v>3</v>
      </c>
      <c r="H39" s="104">
        <f t="shared" si="0"/>
        <v>0</v>
      </c>
      <c r="I39" s="104">
        <f t="shared" si="1"/>
        <v>0</v>
      </c>
      <c r="J39" s="105">
        <f t="shared" si="2"/>
        <v>7</v>
      </c>
      <c r="K39" s="102">
        <f aca="true" t="shared" si="14" ref="K39:K44">(-1)*(J39/12)*((I39/100)+((F39+G39-1)*(H39/100))-(((H39+I39)/100)*((F39+1)/2))-(G39-1))</f>
        <v>1.1666666666666667</v>
      </c>
      <c r="L39" s="102">
        <v>3.5</v>
      </c>
      <c r="M39" s="102">
        <f t="shared" si="4"/>
        <v>8.061766666666667</v>
      </c>
      <c r="N39" s="106">
        <f t="shared" si="7"/>
        <v>1.0806176666666667</v>
      </c>
      <c r="O39" s="102">
        <f t="shared" si="5"/>
        <v>1.07</v>
      </c>
      <c r="P39" s="125">
        <f aca="true" t="shared" si="15" ref="P39:P44">ROUND(N39*O39,4)</f>
        <v>1.1563</v>
      </c>
      <c r="Q39" s="126">
        <v>3.0558</v>
      </c>
      <c r="R39" s="127">
        <v>1</v>
      </c>
      <c r="S39" s="128">
        <f t="shared" si="10"/>
        <v>0.4880791666666666</v>
      </c>
      <c r="T39" s="106">
        <f t="shared" si="11"/>
        <v>0.5833333333333333</v>
      </c>
      <c r="U39" s="128">
        <v>0.625</v>
      </c>
      <c r="V39" s="128">
        <f t="shared" si="12"/>
        <v>1.6964124999999999</v>
      </c>
      <c r="W39" s="128">
        <f t="shared" si="9"/>
        <v>1.1744</v>
      </c>
      <c r="X39" s="129">
        <f t="shared" si="8"/>
        <v>1.1926</v>
      </c>
    </row>
    <row r="40" spans="4:24" ht="20.25">
      <c r="D40" s="101">
        <v>230</v>
      </c>
      <c r="E40" s="102">
        <v>3.3304</v>
      </c>
      <c r="F40" s="103">
        <v>23</v>
      </c>
      <c r="G40" s="103">
        <v>3</v>
      </c>
      <c r="H40" s="104">
        <f t="shared" si="0"/>
        <v>0</v>
      </c>
      <c r="I40" s="104">
        <f t="shared" si="1"/>
        <v>0</v>
      </c>
      <c r="J40" s="105">
        <f t="shared" si="2"/>
        <v>7</v>
      </c>
      <c r="K40" s="102">
        <f t="shared" si="14"/>
        <v>1.1666666666666667</v>
      </c>
      <c r="L40" s="102">
        <v>3.5</v>
      </c>
      <c r="M40" s="102">
        <f t="shared" si="4"/>
        <v>7.997066666666667</v>
      </c>
      <c r="N40" s="106">
        <f t="shared" si="7"/>
        <v>1.0799706666666666</v>
      </c>
      <c r="O40" s="102">
        <f t="shared" si="5"/>
        <v>1.07</v>
      </c>
      <c r="P40" s="125">
        <f t="shared" si="15"/>
        <v>1.1556</v>
      </c>
      <c r="Q40" s="126">
        <v>2.9907</v>
      </c>
      <c r="R40" s="127">
        <v>1</v>
      </c>
      <c r="S40" s="128">
        <f t="shared" si="10"/>
        <v>0.47768125</v>
      </c>
      <c r="T40" s="106">
        <f t="shared" si="11"/>
        <v>0.5833333333333333</v>
      </c>
      <c r="U40" s="128">
        <v>0.625</v>
      </c>
      <c r="V40" s="128">
        <f t="shared" si="12"/>
        <v>1.6860145833333333</v>
      </c>
      <c r="W40" s="128">
        <f t="shared" si="9"/>
        <v>1.1736</v>
      </c>
      <c r="X40" s="129">
        <f t="shared" si="8"/>
        <v>1.1916</v>
      </c>
    </row>
    <row r="41" spans="4:24" ht="20.25">
      <c r="D41" s="101">
        <v>240</v>
      </c>
      <c r="E41" s="102">
        <v>3.2711</v>
      </c>
      <c r="F41" s="103">
        <v>23</v>
      </c>
      <c r="G41" s="103">
        <v>3</v>
      </c>
      <c r="H41" s="104">
        <f t="shared" si="0"/>
        <v>0</v>
      </c>
      <c r="I41" s="104">
        <f t="shared" si="1"/>
        <v>0</v>
      </c>
      <c r="J41" s="105">
        <f t="shared" si="2"/>
        <v>7</v>
      </c>
      <c r="K41" s="102">
        <f t="shared" si="14"/>
        <v>1.1666666666666667</v>
      </c>
      <c r="L41" s="102">
        <v>3.5</v>
      </c>
      <c r="M41" s="102">
        <f t="shared" si="4"/>
        <v>7.937766666666667</v>
      </c>
      <c r="N41" s="106">
        <f t="shared" si="7"/>
        <v>1.0793776666666666</v>
      </c>
      <c r="O41" s="102">
        <f t="shared" si="5"/>
        <v>1.07</v>
      </c>
      <c r="P41" s="125">
        <f t="shared" si="15"/>
        <v>1.1549</v>
      </c>
      <c r="Q41" s="126">
        <v>2.9311</v>
      </c>
      <c r="R41" s="127">
        <v>1</v>
      </c>
      <c r="S41" s="128">
        <f t="shared" si="10"/>
        <v>0.4681618055555555</v>
      </c>
      <c r="T41" s="106">
        <f t="shared" si="11"/>
        <v>0.5833333333333333</v>
      </c>
      <c r="U41" s="128">
        <v>0.625</v>
      </c>
      <c r="V41" s="128">
        <f t="shared" si="12"/>
        <v>1.6764951388888887</v>
      </c>
      <c r="W41" s="128">
        <f t="shared" si="9"/>
        <v>1.1729</v>
      </c>
      <c r="X41" s="129">
        <f t="shared" si="8"/>
        <v>1.1908</v>
      </c>
    </row>
    <row r="42" spans="4:24" ht="20.25">
      <c r="D42" s="101">
        <v>250</v>
      </c>
      <c r="E42" s="102">
        <v>3.2165</v>
      </c>
      <c r="F42" s="103">
        <v>23</v>
      </c>
      <c r="G42" s="103">
        <v>3</v>
      </c>
      <c r="H42" s="104">
        <f t="shared" si="0"/>
        <v>0</v>
      </c>
      <c r="I42" s="104">
        <f t="shared" si="1"/>
        <v>0</v>
      </c>
      <c r="J42" s="105">
        <f t="shared" si="2"/>
        <v>7</v>
      </c>
      <c r="K42" s="102">
        <f t="shared" si="14"/>
        <v>1.1666666666666667</v>
      </c>
      <c r="L42" s="102">
        <v>3.5</v>
      </c>
      <c r="M42" s="102">
        <f t="shared" si="4"/>
        <v>7.883166666666667</v>
      </c>
      <c r="N42" s="106">
        <f t="shared" si="7"/>
        <v>1.0788316666666666</v>
      </c>
      <c r="O42" s="102">
        <f t="shared" si="5"/>
        <v>1.07</v>
      </c>
      <c r="P42" s="125">
        <f t="shared" si="15"/>
        <v>1.1543</v>
      </c>
      <c r="Q42" s="126">
        <v>2.8783</v>
      </c>
      <c r="R42" s="127">
        <v>1</v>
      </c>
      <c r="S42" s="128">
        <f t="shared" si="10"/>
        <v>0.4597284722222222</v>
      </c>
      <c r="T42" s="106">
        <f t="shared" si="11"/>
        <v>0.5833333333333333</v>
      </c>
      <c r="U42" s="128">
        <v>0.625</v>
      </c>
      <c r="V42" s="128">
        <f t="shared" si="12"/>
        <v>1.6680618055555554</v>
      </c>
      <c r="W42" s="128">
        <f t="shared" si="9"/>
        <v>1.1722</v>
      </c>
      <c r="X42" s="129">
        <f t="shared" si="8"/>
        <v>1.19</v>
      </c>
    </row>
    <row r="43" spans="4:24" ht="20.25">
      <c r="D43" s="101">
        <v>260</v>
      </c>
      <c r="E43" s="102">
        <v>3.1661</v>
      </c>
      <c r="F43" s="103">
        <v>23</v>
      </c>
      <c r="G43" s="103">
        <v>3</v>
      </c>
      <c r="H43" s="104">
        <f t="shared" si="0"/>
        <v>0</v>
      </c>
      <c r="I43" s="104">
        <f t="shared" si="1"/>
        <v>0</v>
      </c>
      <c r="J43" s="105">
        <f t="shared" si="2"/>
        <v>7</v>
      </c>
      <c r="K43" s="102">
        <f t="shared" si="14"/>
        <v>1.1666666666666667</v>
      </c>
      <c r="L43" s="102">
        <v>3.5</v>
      </c>
      <c r="M43" s="102">
        <f t="shared" si="4"/>
        <v>7.832766666666667</v>
      </c>
      <c r="N43" s="106">
        <f t="shared" si="7"/>
        <v>1.0783276666666666</v>
      </c>
      <c r="O43" s="102">
        <f t="shared" si="5"/>
        <v>1.07</v>
      </c>
      <c r="P43" s="125">
        <f t="shared" si="15"/>
        <v>1.1538</v>
      </c>
      <c r="Q43" s="126">
        <v>2.8263</v>
      </c>
      <c r="R43" s="127">
        <v>1</v>
      </c>
      <c r="S43" s="128">
        <f t="shared" si="10"/>
        <v>0.4514229166666666</v>
      </c>
      <c r="T43" s="106">
        <f t="shared" si="11"/>
        <v>0.5833333333333333</v>
      </c>
      <c r="U43" s="128">
        <v>0.625</v>
      </c>
      <c r="V43" s="128">
        <f t="shared" si="12"/>
        <v>1.6597562499999998</v>
      </c>
      <c r="W43" s="128">
        <f t="shared" si="9"/>
        <v>1.1716</v>
      </c>
      <c r="X43" s="129">
        <f t="shared" si="8"/>
        <v>1.1893</v>
      </c>
    </row>
    <row r="44" spans="4:25" ht="20.25">
      <c r="D44" s="101">
        <v>270</v>
      </c>
      <c r="E44" s="102">
        <v>3.1195</v>
      </c>
      <c r="F44" s="103">
        <v>23</v>
      </c>
      <c r="G44" s="103">
        <v>3</v>
      </c>
      <c r="H44" s="104">
        <f t="shared" si="0"/>
        <v>0</v>
      </c>
      <c r="I44" s="104">
        <f t="shared" si="1"/>
        <v>0</v>
      </c>
      <c r="J44" s="105">
        <f t="shared" si="2"/>
        <v>7</v>
      </c>
      <c r="K44" s="102">
        <f t="shared" si="14"/>
        <v>1.1666666666666667</v>
      </c>
      <c r="L44" s="102">
        <v>3.5</v>
      </c>
      <c r="M44" s="102">
        <f t="shared" si="4"/>
        <v>7.7861666666666665</v>
      </c>
      <c r="N44" s="106">
        <f t="shared" si="7"/>
        <v>1.0778616666666667</v>
      </c>
      <c r="O44" s="102">
        <f t="shared" si="5"/>
        <v>1.07</v>
      </c>
      <c r="P44" s="125">
        <f t="shared" si="15"/>
        <v>1.1533</v>
      </c>
      <c r="Q44" s="126">
        <v>2.7793</v>
      </c>
      <c r="R44" s="127">
        <v>1</v>
      </c>
      <c r="S44" s="128">
        <f t="shared" si="10"/>
        <v>0.4439159722222222</v>
      </c>
      <c r="T44" s="106">
        <f t="shared" si="11"/>
        <v>0.5833333333333333</v>
      </c>
      <c r="U44" s="128">
        <v>0.625</v>
      </c>
      <c r="V44" s="128">
        <f t="shared" si="12"/>
        <v>1.6522493055555554</v>
      </c>
      <c r="W44" s="128">
        <f t="shared" si="9"/>
        <v>1.171</v>
      </c>
      <c r="X44" s="129">
        <f t="shared" si="8"/>
        <v>1.1887</v>
      </c>
      <c r="Y44" s="45"/>
    </row>
    <row r="45" spans="4:24" ht="20.25">
      <c r="D45" s="101">
        <v>280</v>
      </c>
      <c r="E45" s="102">
        <v>3.0761</v>
      </c>
      <c r="F45" s="103">
        <v>23</v>
      </c>
      <c r="G45" s="103">
        <v>3</v>
      </c>
      <c r="H45" s="104">
        <f t="shared" si="0"/>
        <v>0</v>
      </c>
      <c r="I45" s="104">
        <f t="shared" si="1"/>
        <v>0</v>
      </c>
      <c r="J45" s="105">
        <f t="shared" si="2"/>
        <v>7</v>
      </c>
      <c r="K45" s="102">
        <f t="shared" si="3"/>
        <v>1.1666666666666667</v>
      </c>
      <c r="L45" s="102">
        <v>3.5</v>
      </c>
      <c r="M45" s="102">
        <f t="shared" si="4"/>
        <v>7.742766666666666</v>
      </c>
      <c r="N45" s="106">
        <f t="shared" si="7"/>
        <v>1.0774276666666667</v>
      </c>
      <c r="O45" s="102">
        <f t="shared" si="5"/>
        <v>1.07</v>
      </c>
      <c r="P45" s="125">
        <f t="shared" si="6"/>
        <v>1.1528</v>
      </c>
      <c r="Q45" s="126">
        <v>2.7357</v>
      </c>
      <c r="R45" s="127">
        <v>1</v>
      </c>
      <c r="S45" s="128">
        <f t="shared" si="10"/>
        <v>0.4369520833333333</v>
      </c>
      <c r="T45" s="106">
        <f t="shared" si="11"/>
        <v>0.5833333333333333</v>
      </c>
      <c r="U45" s="128">
        <v>0.625</v>
      </c>
      <c r="V45" s="128">
        <f t="shared" si="12"/>
        <v>1.6452854166666666</v>
      </c>
      <c r="W45" s="128">
        <f t="shared" si="9"/>
        <v>1.1705</v>
      </c>
      <c r="X45" s="129">
        <f t="shared" si="8"/>
        <v>1.1881</v>
      </c>
    </row>
    <row r="46" spans="4:24" ht="20.25">
      <c r="D46" s="101">
        <v>290</v>
      </c>
      <c r="E46" s="102">
        <v>3.0358</v>
      </c>
      <c r="F46" s="103">
        <v>23</v>
      </c>
      <c r="G46" s="103">
        <v>3</v>
      </c>
      <c r="H46" s="104">
        <f t="shared" si="0"/>
        <v>0</v>
      </c>
      <c r="I46" s="104">
        <f t="shared" si="1"/>
        <v>0</v>
      </c>
      <c r="J46" s="105">
        <f t="shared" si="2"/>
        <v>7</v>
      </c>
      <c r="K46" s="102">
        <f t="shared" si="3"/>
        <v>1.1666666666666667</v>
      </c>
      <c r="L46" s="102">
        <v>3.5</v>
      </c>
      <c r="M46" s="102">
        <f t="shared" si="4"/>
        <v>7.702466666666667</v>
      </c>
      <c r="N46" s="106">
        <f t="shared" si="7"/>
        <v>1.0770246666666667</v>
      </c>
      <c r="O46" s="102">
        <f t="shared" si="5"/>
        <v>1.07</v>
      </c>
      <c r="P46" s="125">
        <f t="shared" si="6"/>
        <v>1.1524</v>
      </c>
      <c r="Q46" s="126">
        <v>2.697</v>
      </c>
      <c r="R46" s="127">
        <v>1</v>
      </c>
      <c r="S46" s="128">
        <f t="shared" si="10"/>
        <v>0.4307708333333333</v>
      </c>
      <c r="T46" s="106">
        <f t="shared" si="11"/>
        <v>0.5833333333333333</v>
      </c>
      <c r="U46" s="128">
        <v>0.625</v>
      </c>
      <c r="V46" s="128">
        <f t="shared" si="12"/>
        <v>1.6391041666666666</v>
      </c>
      <c r="W46" s="128">
        <f t="shared" si="9"/>
        <v>1.17</v>
      </c>
      <c r="X46" s="129">
        <f t="shared" si="8"/>
        <v>1.1875</v>
      </c>
    </row>
    <row r="47" spans="4:24" ht="20.25">
      <c r="D47" s="101">
        <v>300</v>
      </c>
      <c r="E47" s="102">
        <v>2.9982</v>
      </c>
      <c r="F47" s="103">
        <v>23</v>
      </c>
      <c r="G47" s="103">
        <v>3</v>
      </c>
      <c r="H47" s="104">
        <f t="shared" si="0"/>
        <v>0</v>
      </c>
      <c r="I47" s="104">
        <f t="shared" si="1"/>
        <v>0</v>
      </c>
      <c r="J47" s="105">
        <f t="shared" si="2"/>
        <v>7</v>
      </c>
      <c r="K47" s="102">
        <f t="shared" si="3"/>
        <v>1.1666666666666667</v>
      </c>
      <c r="L47" s="102">
        <v>3.5</v>
      </c>
      <c r="M47" s="102">
        <f t="shared" si="4"/>
        <v>7.664866666666667</v>
      </c>
      <c r="N47" s="106">
        <f t="shared" si="7"/>
        <v>1.0766486666666666</v>
      </c>
      <c r="O47" s="102">
        <f t="shared" si="5"/>
        <v>1.07</v>
      </c>
      <c r="P47" s="125">
        <f t="shared" si="6"/>
        <v>1.152</v>
      </c>
      <c r="Q47" s="126">
        <v>2.6587</v>
      </c>
      <c r="R47" s="127">
        <v>1</v>
      </c>
      <c r="S47" s="128">
        <f t="shared" si="10"/>
        <v>0.4246534722222222</v>
      </c>
      <c r="T47" s="106">
        <f t="shared" si="11"/>
        <v>0.5833333333333333</v>
      </c>
      <c r="U47" s="128">
        <v>0.625</v>
      </c>
      <c r="V47" s="128">
        <f t="shared" si="12"/>
        <v>1.6329868055555554</v>
      </c>
      <c r="W47" s="128">
        <f t="shared" si="9"/>
        <v>1.1695</v>
      </c>
      <c r="X47" s="129">
        <f t="shared" si="8"/>
        <v>1.187</v>
      </c>
    </row>
    <row r="48" spans="4:24" ht="20.25">
      <c r="D48" s="101">
        <v>350</v>
      </c>
      <c r="E48" s="102">
        <v>2.8896</v>
      </c>
      <c r="F48" s="103">
        <v>24</v>
      </c>
      <c r="G48" s="103">
        <v>3</v>
      </c>
      <c r="H48" s="104">
        <f t="shared" si="0"/>
        <v>0</v>
      </c>
      <c r="I48" s="104">
        <f t="shared" si="1"/>
        <v>0</v>
      </c>
      <c r="J48" s="105">
        <f t="shared" si="2"/>
        <v>7</v>
      </c>
      <c r="K48" s="102">
        <f t="shared" si="3"/>
        <v>1.1666666666666667</v>
      </c>
      <c r="L48" s="102">
        <v>3.5</v>
      </c>
      <c r="M48" s="102">
        <f t="shared" si="4"/>
        <v>7.556266666666667</v>
      </c>
      <c r="N48" s="106">
        <f t="shared" si="7"/>
        <v>1.0755626666666667</v>
      </c>
      <c r="O48" s="102">
        <f t="shared" si="5"/>
        <v>1.07</v>
      </c>
      <c r="P48" s="125">
        <f t="shared" si="6"/>
        <v>1.1509</v>
      </c>
      <c r="Q48" s="126">
        <v>2.5385</v>
      </c>
      <c r="R48" s="127">
        <v>1</v>
      </c>
      <c r="S48" s="128">
        <f t="shared" si="10"/>
        <v>0.4230833333333333</v>
      </c>
      <c r="T48" s="106">
        <f t="shared" si="11"/>
        <v>0.5833333333333333</v>
      </c>
      <c r="U48" s="128">
        <v>0.625</v>
      </c>
      <c r="V48" s="128">
        <f t="shared" si="12"/>
        <v>1.6314166666666665</v>
      </c>
      <c r="W48" s="128">
        <f t="shared" si="9"/>
        <v>1.1683</v>
      </c>
      <c r="X48" s="129">
        <f t="shared" si="8"/>
        <v>1.1858</v>
      </c>
    </row>
    <row r="49" spans="4:24" ht="20.25">
      <c r="D49" s="101">
        <v>400</v>
      </c>
      <c r="E49" s="102">
        <v>2.6731</v>
      </c>
      <c r="F49" s="103">
        <v>24</v>
      </c>
      <c r="G49" s="103">
        <v>3</v>
      </c>
      <c r="H49" s="104">
        <f t="shared" si="0"/>
        <v>0</v>
      </c>
      <c r="I49" s="104">
        <f t="shared" si="1"/>
        <v>0</v>
      </c>
      <c r="J49" s="105">
        <f t="shared" si="2"/>
        <v>7</v>
      </c>
      <c r="K49" s="102">
        <f t="shared" si="3"/>
        <v>1.1666666666666667</v>
      </c>
      <c r="L49" s="102">
        <v>3.5</v>
      </c>
      <c r="M49" s="102">
        <f t="shared" si="4"/>
        <v>7.339766666666667</v>
      </c>
      <c r="N49" s="106">
        <f t="shared" si="7"/>
        <v>1.0733976666666667</v>
      </c>
      <c r="O49" s="102">
        <f t="shared" si="5"/>
        <v>1.07</v>
      </c>
      <c r="P49" s="125">
        <f t="shared" si="6"/>
        <v>1.1485</v>
      </c>
      <c r="Q49" s="126">
        <v>2.3232</v>
      </c>
      <c r="R49" s="127">
        <v>1</v>
      </c>
      <c r="S49" s="128">
        <f t="shared" si="10"/>
        <v>0.3872</v>
      </c>
      <c r="T49" s="106">
        <f t="shared" si="11"/>
        <v>0.5833333333333333</v>
      </c>
      <c r="U49" s="128">
        <v>0.625</v>
      </c>
      <c r="V49" s="128">
        <f t="shared" si="12"/>
        <v>1.5955333333333332</v>
      </c>
      <c r="W49" s="128">
        <f t="shared" si="9"/>
        <v>1.1656</v>
      </c>
      <c r="X49" s="129">
        <f t="shared" si="8"/>
        <v>1.1827</v>
      </c>
    </row>
    <row r="50" spans="4:24" ht="20.25">
      <c r="D50" s="101">
        <v>450</v>
      </c>
      <c r="E50" s="102">
        <v>2.5048</v>
      </c>
      <c r="F50" s="103">
        <v>24</v>
      </c>
      <c r="G50" s="103">
        <v>3</v>
      </c>
      <c r="H50" s="104">
        <f t="shared" si="0"/>
        <v>0</v>
      </c>
      <c r="I50" s="104">
        <f t="shared" si="1"/>
        <v>0</v>
      </c>
      <c r="J50" s="105">
        <f t="shared" si="2"/>
        <v>7</v>
      </c>
      <c r="K50" s="102">
        <f t="shared" si="3"/>
        <v>1.1666666666666667</v>
      </c>
      <c r="L50" s="102">
        <v>3.5</v>
      </c>
      <c r="M50" s="102">
        <f t="shared" si="4"/>
        <v>7.171466666666666</v>
      </c>
      <c r="N50" s="106">
        <f t="shared" si="7"/>
        <v>1.0717146666666666</v>
      </c>
      <c r="O50" s="102">
        <f t="shared" si="5"/>
        <v>1.07</v>
      </c>
      <c r="P50" s="125">
        <f t="shared" si="6"/>
        <v>1.1467</v>
      </c>
      <c r="Q50" s="126">
        <v>2.155</v>
      </c>
      <c r="R50" s="127">
        <v>1</v>
      </c>
      <c r="S50" s="128">
        <f t="shared" si="10"/>
        <v>0.35916666666666663</v>
      </c>
      <c r="T50" s="106">
        <f t="shared" si="11"/>
        <v>0.5833333333333333</v>
      </c>
      <c r="U50" s="128">
        <v>0.625</v>
      </c>
      <c r="V50" s="128">
        <f t="shared" si="12"/>
        <v>1.5675</v>
      </c>
      <c r="W50" s="128">
        <f t="shared" si="9"/>
        <v>1.1635</v>
      </c>
      <c r="X50" s="129">
        <f t="shared" si="8"/>
        <v>1.1803</v>
      </c>
    </row>
    <row r="51" spans="4:24" ht="20.25">
      <c r="D51" s="101">
        <v>500</v>
      </c>
      <c r="E51" s="102">
        <v>2.3701</v>
      </c>
      <c r="F51" s="103">
        <v>24</v>
      </c>
      <c r="G51" s="103">
        <v>3</v>
      </c>
      <c r="H51" s="104">
        <f t="shared" si="0"/>
        <v>0</v>
      </c>
      <c r="I51" s="104">
        <f t="shared" si="1"/>
        <v>0</v>
      </c>
      <c r="J51" s="105">
        <f t="shared" si="2"/>
        <v>7</v>
      </c>
      <c r="K51" s="102">
        <f t="shared" si="3"/>
        <v>1.1666666666666667</v>
      </c>
      <c r="L51" s="102">
        <v>3.5</v>
      </c>
      <c r="M51" s="102">
        <f t="shared" si="4"/>
        <v>7.036766666666667</v>
      </c>
      <c r="N51" s="106">
        <f t="shared" si="7"/>
        <v>1.0703676666666666</v>
      </c>
      <c r="O51" s="102">
        <f t="shared" si="5"/>
        <v>1.07</v>
      </c>
      <c r="P51" s="125">
        <f t="shared" si="6"/>
        <v>1.1453</v>
      </c>
      <c r="Q51" s="126">
        <v>2.0213</v>
      </c>
      <c r="R51" s="127">
        <v>1</v>
      </c>
      <c r="S51" s="128">
        <f t="shared" si="10"/>
        <v>0.33688333333333337</v>
      </c>
      <c r="T51" s="106">
        <f t="shared" si="11"/>
        <v>0.5833333333333333</v>
      </c>
      <c r="U51" s="128">
        <v>0.625</v>
      </c>
      <c r="V51" s="128">
        <f t="shared" si="12"/>
        <v>1.5452166666666667</v>
      </c>
      <c r="W51" s="128">
        <f t="shared" si="9"/>
        <v>1.1618</v>
      </c>
      <c r="X51" s="129">
        <f t="shared" si="8"/>
        <v>1.1784</v>
      </c>
    </row>
    <row r="52" spans="4:24" ht="21" thickBot="1">
      <c r="D52" s="149" t="s">
        <v>151</v>
      </c>
      <c r="E52" s="109">
        <v>2.3701</v>
      </c>
      <c r="F52" s="110">
        <v>24</v>
      </c>
      <c r="G52" s="110">
        <v>3</v>
      </c>
      <c r="H52" s="111">
        <f t="shared" si="0"/>
        <v>0</v>
      </c>
      <c r="I52" s="111">
        <f t="shared" si="1"/>
        <v>0</v>
      </c>
      <c r="J52" s="112">
        <f t="shared" si="2"/>
        <v>7</v>
      </c>
      <c r="K52" s="109">
        <f t="shared" si="3"/>
        <v>1.1666666666666667</v>
      </c>
      <c r="L52" s="109">
        <v>3.5</v>
      </c>
      <c r="M52" s="109">
        <f t="shared" si="4"/>
        <v>7.036766666666667</v>
      </c>
      <c r="N52" s="113">
        <f t="shared" si="7"/>
        <v>1.0703676666666666</v>
      </c>
      <c r="O52" s="109">
        <f t="shared" si="5"/>
        <v>1.07</v>
      </c>
      <c r="P52" s="130">
        <f t="shared" si="6"/>
        <v>1.1453</v>
      </c>
      <c r="Q52" s="131">
        <v>2.0213</v>
      </c>
      <c r="R52" s="132">
        <v>1</v>
      </c>
      <c r="S52" s="133">
        <f t="shared" si="10"/>
        <v>0.33688333333333337</v>
      </c>
      <c r="T52" s="113">
        <f t="shared" si="11"/>
        <v>0.5833333333333333</v>
      </c>
      <c r="U52" s="133">
        <v>0.625</v>
      </c>
      <c r="V52" s="133">
        <f t="shared" si="12"/>
        <v>1.5452166666666667</v>
      </c>
      <c r="W52" s="133">
        <f t="shared" si="9"/>
        <v>1.1618</v>
      </c>
      <c r="X52" s="134">
        <f t="shared" si="8"/>
        <v>1.1784</v>
      </c>
    </row>
    <row r="53" spans="4:24" ht="20.25">
      <c r="D53" s="26" t="s">
        <v>146</v>
      </c>
      <c r="E53" s="27" t="s">
        <v>147</v>
      </c>
      <c r="F53" s="26"/>
      <c r="G53" s="26"/>
      <c r="H53" s="26"/>
      <c r="I53" s="26"/>
      <c r="J53" s="26"/>
      <c r="K53" s="27"/>
      <c r="L53" s="27"/>
      <c r="M53" s="27"/>
      <c r="N53" s="26"/>
      <c r="O53" s="26"/>
      <c r="P53" s="26"/>
      <c r="Q53" s="27"/>
      <c r="R53" s="27"/>
      <c r="S53" s="26"/>
      <c r="T53" s="26"/>
      <c r="U53" s="26"/>
      <c r="V53" s="26"/>
      <c r="W53" s="26"/>
      <c r="X53" s="26"/>
    </row>
    <row r="54" spans="4:24" ht="21">
      <c r="D54" s="26"/>
      <c r="E54" s="27" t="s">
        <v>148</v>
      </c>
      <c r="F54" s="26"/>
      <c r="G54" s="26"/>
      <c r="H54" s="26"/>
      <c r="I54" s="26"/>
      <c r="J54" s="26"/>
      <c r="K54" s="27"/>
      <c r="L54" s="27"/>
      <c r="M54" s="27"/>
      <c r="N54" s="26"/>
      <c r="O54" s="26"/>
      <c r="P54" s="26"/>
      <c r="Q54" s="27"/>
      <c r="R54" s="27"/>
      <c r="S54" s="26"/>
      <c r="T54" s="26"/>
      <c r="U54" s="26"/>
      <c r="V54" s="26"/>
      <c r="W54" s="26"/>
      <c r="X54" s="26"/>
    </row>
  </sheetData>
  <sheetProtection password="87BD" sheet="1" objects="1" scenarios="1" selectLockedCells="1"/>
  <mergeCells count="20">
    <mergeCell ref="Q14:Q15"/>
    <mergeCell ref="R14:R15"/>
    <mergeCell ref="S14:S15"/>
    <mergeCell ref="D6:E6"/>
    <mergeCell ref="K2:X2"/>
    <mergeCell ref="U14:U15"/>
    <mergeCell ref="W14:W15"/>
    <mergeCell ref="D14:D15"/>
    <mergeCell ref="E14:M14"/>
    <mergeCell ref="N14:N15"/>
    <mergeCell ref="O14:O15"/>
    <mergeCell ref="P14:P15"/>
    <mergeCell ref="T14:T15"/>
    <mergeCell ref="X14:X15"/>
    <mergeCell ref="M4:N4"/>
    <mergeCell ref="M5:N5"/>
    <mergeCell ref="M6:N6"/>
    <mergeCell ref="P4:W4"/>
    <mergeCell ref="D9:X9"/>
    <mergeCell ref="D8:P8"/>
  </mergeCells>
  <dataValidations count="6">
    <dataValidation type="list" allowBlank="1" showInputMessage="1" showErrorMessage="1" promptTitle="พื้นที่ฝนชุก" prompt="เลือกจังหวัดที่ตั้งโครงการ ตามรายชื่อจังหวัดพื้นที่ฝนชุก  หากไม่มีในรายชื่อด้านล่าง ให้เลือกอื่นๆ ซึ่งหมายถึง พื้นที่ปกติ ไม่ใช่พื้นที่ฝนชุก&#10;" sqref="W5">
      <formula1>$AC$17:$AC$36</formula1>
    </dataValidation>
    <dataValidation type="list" allowBlank="1" showInputMessage="1" showErrorMessage="1" sqref="O11">
      <formula1>$AA$23:$AA$25</formula1>
    </dataValidation>
    <dataValidation type="list" allowBlank="1" showInputMessage="1" showErrorMessage="1" sqref="K11">
      <formula1>$Z$22:$Z$25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sqref="M4">
      <formula1>0</formula1>
    </dataValidation>
    <dataValidation type="list" allowBlank="1" showInputMessage="1" showErrorMessage="1" sqref="K12">
      <formula1>$Z$22:$Z$24</formula1>
    </dataValidation>
    <dataValidation type="list" allowBlank="1" showInputMessage="1" showErrorMessage="1" sqref="O12">
      <formula1>$AB$22:$AB$23</formula1>
    </dataValidation>
  </dataValidations>
  <hyperlinks>
    <hyperlink ref="D6" r:id="rId1" display="www.yotathai.net"/>
  </hyperlinks>
  <printOptions horizontalCentered="1"/>
  <pageMargins left="0.4330708661417323" right="0.35433070866141736" top="0.4330708661417323" bottom="0.35433070866141736" header="0.35433070866141736" footer="0.31496062992125984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C1:AG59"/>
  <sheetViews>
    <sheetView showGridLines="0" showRowColHeaders="0" tabSelected="1" showOutlineSymbols="0" zoomScalePageLayoutView="60" workbookViewId="0" topLeftCell="A1">
      <selection activeCell="W5" sqref="W5"/>
    </sheetView>
  </sheetViews>
  <sheetFormatPr defaultColWidth="9.00390625" defaultRowHeight="12.75"/>
  <cols>
    <col min="1" max="2" width="9.00390625" style="3" customWidth="1"/>
    <col min="3" max="3" width="3.7109375" style="3" customWidth="1"/>
    <col min="4" max="4" width="11.140625" style="3" customWidth="1"/>
    <col min="5" max="5" width="10.7109375" style="6" customWidth="1"/>
    <col min="6" max="10" width="9.00390625" style="3" hidden="1" customWidth="1"/>
    <col min="11" max="13" width="11.00390625" style="6" customWidth="1"/>
    <col min="14" max="14" width="11.00390625" style="3" customWidth="1"/>
    <col min="15" max="15" width="9.8515625" style="3" customWidth="1"/>
    <col min="16" max="16" width="11.00390625" style="3" customWidth="1"/>
    <col min="17" max="17" width="12.00390625" style="6" hidden="1" customWidth="1"/>
    <col min="18" max="18" width="8.421875" style="6" hidden="1" customWidth="1"/>
    <col min="19" max="22" width="8.421875" style="3" hidden="1" customWidth="1"/>
    <col min="23" max="24" width="11.140625" style="3" customWidth="1"/>
    <col min="25" max="25" width="9.00390625" style="26" hidden="1" customWidth="1"/>
    <col min="26" max="26" width="10.8515625" style="37" hidden="1" customWidth="1"/>
    <col min="27" max="27" width="11.57421875" style="26" hidden="1" customWidth="1"/>
    <col min="28" max="28" width="9.00390625" style="26" hidden="1" customWidth="1"/>
    <col min="29" max="29" width="11.28125" style="26" hidden="1" customWidth="1"/>
    <col min="30" max="31" width="9.00390625" style="26" hidden="1" customWidth="1"/>
    <col min="32" max="16384" width="9.00390625" style="3" customWidth="1"/>
  </cols>
  <sheetData>
    <row r="1" spans="24:31" ht="16.5" customHeight="1" thickBot="1">
      <c r="X1" s="64" t="str">
        <f>F_อาคาร!P1</f>
        <v>Factor F_2555</v>
      </c>
      <c r="Y1" s="3"/>
      <c r="Z1" s="52"/>
      <c r="AA1" s="3"/>
      <c r="AB1" s="3"/>
      <c r="AC1" s="3"/>
      <c r="AD1" s="3"/>
      <c r="AE1" s="3"/>
    </row>
    <row r="2" spans="4:24" ht="23.25">
      <c r="D2" s="29"/>
      <c r="E2" s="29"/>
      <c r="F2" s="28"/>
      <c r="G2" s="28"/>
      <c r="H2" s="28"/>
      <c r="I2" s="28"/>
      <c r="J2" s="28"/>
      <c r="K2" s="171" t="s">
        <v>179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4:24" ht="8.25" customHeight="1">
      <c r="D3" s="29"/>
      <c r="E3" s="29"/>
      <c r="F3" s="29"/>
      <c r="G3" s="29"/>
      <c r="H3" s="29"/>
      <c r="I3" s="29"/>
      <c r="J3" s="29"/>
      <c r="K3" s="11"/>
      <c r="L3" s="11"/>
      <c r="M3" s="11"/>
      <c r="N3" s="11"/>
      <c r="O3" s="11"/>
      <c r="P3" s="11"/>
      <c r="Q3" s="72"/>
      <c r="R3" s="72"/>
      <c r="S3" s="7"/>
      <c r="T3" s="7"/>
      <c r="U3" s="7"/>
      <c r="V3" s="7"/>
      <c r="W3" s="7"/>
      <c r="X3" s="7"/>
    </row>
    <row r="4" spans="4:27" ht="20.25">
      <c r="D4" s="73"/>
      <c r="E4" s="31"/>
      <c r="F4" s="30"/>
      <c r="G4" s="30"/>
      <c r="H4" s="30"/>
      <c r="I4" s="30"/>
      <c r="J4" s="30"/>
      <c r="K4" s="72" t="s">
        <v>4</v>
      </c>
      <c r="L4" s="72"/>
      <c r="M4" s="182">
        <v>18000000</v>
      </c>
      <c r="N4" s="182"/>
      <c r="O4" s="150" t="s">
        <v>5</v>
      </c>
      <c r="P4" s="194" t="s">
        <v>41</v>
      </c>
      <c r="Q4" s="194"/>
      <c r="R4" s="194"/>
      <c r="S4" s="194"/>
      <c r="T4" s="194"/>
      <c r="U4" s="194"/>
      <c r="V4" s="194"/>
      <c r="W4" s="194"/>
      <c r="X4" s="7"/>
      <c r="Y4" s="38"/>
      <c r="Z4" s="48"/>
      <c r="AA4" s="38"/>
    </row>
    <row r="5" spans="4:27" ht="20.25">
      <c r="D5" s="73"/>
      <c r="E5" s="32"/>
      <c r="F5" s="32"/>
      <c r="G5" s="32"/>
      <c r="H5" s="32"/>
      <c r="I5" s="32"/>
      <c r="J5" s="32"/>
      <c r="K5" s="72" t="s">
        <v>13</v>
      </c>
      <c r="L5" s="72"/>
      <c r="M5" s="193">
        <f>IF(W6=1,IF(M4=0,0,IF(M4&lt;=5000000,W16,IF(M4&gt;=500000000,W52,AB21))),IF(W6=2,IF(M4=0,0,IF(M4&lt;=5000000,X16,IF(M4&gt;=500000000,X52,AB21))),IF(M4=0,0,IF(M4&lt;=5000000,P16,IF(M4&gt;=500000000,P52,AB21)))))</f>
        <v>1.251</v>
      </c>
      <c r="N5" s="193"/>
      <c r="O5" s="150"/>
      <c r="P5" s="146" t="s">
        <v>39</v>
      </c>
      <c r="Q5" s="31"/>
      <c r="R5" s="31"/>
      <c r="S5" s="73"/>
      <c r="T5" s="73"/>
      <c r="U5" s="73"/>
      <c r="V5" s="73"/>
      <c r="W5" s="145" t="s">
        <v>62</v>
      </c>
      <c r="X5" s="7"/>
      <c r="Y5" s="38"/>
      <c r="Z5" s="39"/>
      <c r="AA5" s="46"/>
    </row>
    <row r="6" spans="4:26" ht="21" customHeight="1">
      <c r="D6" s="198" t="s">
        <v>29</v>
      </c>
      <c r="E6" s="199"/>
      <c r="F6" s="33"/>
      <c r="G6" s="33"/>
      <c r="H6" s="33"/>
      <c r="I6" s="33"/>
      <c r="J6" s="33"/>
      <c r="K6" s="72" t="s">
        <v>28</v>
      </c>
      <c r="L6" s="72"/>
      <c r="M6" s="179">
        <f>ROUND((M5*M4),2)</f>
        <v>22518000</v>
      </c>
      <c r="N6" s="179"/>
      <c r="O6" s="150" t="s">
        <v>5</v>
      </c>
      <c r="P6" s="146" t="s">
        <v>40</v>
      </c>
      <c r="Q6" s="31"/>
      <c r="R6" s="31"/>
      <c r="S6" s="73"/>
      <c r="T6" s="73"/>
      <c r="U6" s="73"/>
      <c r="V6" s="73"/>
      <c r="W6" s="147" t="str">
        <f>VLOOKUP(W5,AC17:AD36,2,FALSE)</f>
        <v>ปกติ</v>
      </c>
      <c r="X6" s="7"/>
      <c r="Z6" s="49"/>
    </row>
    <row r="7" spans="4:24" ht="9" customHeight="1">
      <c r="D7" s="73"/>
      <c r="E7" s="31"/>
      <c r="F7" s="73"/>
      <c r="G7" s="73"/>
      <c r="H7" s="73"/>
      <c r="I7" s="73"/>
      <c r="J7" s="73"/>
      <c r="K7" s="72"/>
      <c r="L7" s="72"/>
      <c r="M7" s="72"/>
      <c r="N7" s="115"/>
      <c r="O7" s="115"/>
      <c r="P7" s="7"/>
      <c r="Q7" s="72"/>
      <c r="R7" s="72"/>
      <c r="S7" s="7"/>
      <c r="T7" s="7"/>
      <c r="U7" s="7"/>
      <c r="V7" s="7"/>
      <c r="W7" s="7"/>
      <c r="X7" s="7"/>
    </row>
    <row r="8" spans="4:24" ht="9.75" customHeight="1" hidden="1"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31"/>
      <c r="R8" s="31"/>
      <c r="S8" s="73"/>
      <c r="T8" s="73"/>
      <c r="U8" s="73"/>
      <c r="V8" s="73"/>
      <c r="W8" s="73"/>
      <c r="X8" s="73"/>
    </row>
    <row r="9" spans="3:31" s="4" customFormat="1" ht="22.5" customHeight="1">
      <c r="C9" s="142"/>
      <c r="D9" s="200" t="s">
        <v>95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36"/>
      <c r="Z9" s="36"/>
      <c r="AA9" s="36"/>
      <c r="AB9" s="36"/>
      <c r="AC9" s="36"/>
      <c r="AD9" s="36"/>
      <c r="AE9" s="36"/>
    </row>
    <row r="10" spans="4:28" ht="4.5" customHeight="1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1"/>
      <c r="R10" s="31"/>
      <c r="S10" s="73"/>
      <c r="T10" s="73"/>
      <c r="U10" s="73"/>
      <c r="V10" s="73"/>
      <c r="W10" s="73"/>
      <c r="X10" s="73"/>
      <c r="AB10" s="47" t="s">
        <v>64</v>
      </c>
    </row>
    <row r="11" spans="4:28" ht="20.25">
      <c r="D11" s="73" t="s">
        <v>26</v>
      </c>
      <c r="E11" s="31"/>
      <c r="F11" s="73"/>
      <c r="G11" s="73"/>
      <c r="H11" s="73"/>
      <c r="I11" s="73"/>
      <c r="J11" s="73"/>
      <c r="K11" s="85">
        <v>0</v>
      </c>
      <c r="L11" s="31" t="s">
        <v>2</v>
      </c>
      <c r="M11" s="31" t="s">
        <v>0</v>
      </c>
      <c r="N11" s="73"/>
      <c r="O11" s="87">
        <v>7</v>
      </c>
      <c r="P11" s="73" t="s">
        <v>2</v>
      </c>
      <c r="Q11" s="31"/>
      <c r="R11" s="31"/>
      <c r="S11" s="73"/>
      <c r="T11" s="73"/>
      <c r="U11" s="73"/>
      <c r="V11" s="73"/>
      <c r="W11" s="73"/>
      <c r="X11" s="73"/>
      <c r="Y11"/>
      <c r="AB11" s="47" t="s">
        <v>65</v>
      </c>
    </row>
    <row r="12" spans="4:24" ht="20.25">
      <c r="D12" s="73" t="s">
        <v>27</v>
      </c>
      <c r="E12" s="31"/>
      <c r="F12" s="73"/>
      <c r="G12" s="73"/>
      <c r="H12" s="73"/>
      <c r="I12" s="73"/>
      <c r="J12" s="73"/>
      <c r="K12" s="84">
        <v>0</v>
      </c>
      <c r="L12" s="31" t="s">
        <v>2</v>
      </c>
      <c r="M12" s="31" t="s">
        <v>3</v>
      </c>
      <c r="N12" s="73"/>
      <c r="O12" s="86">
        <v>7</v>
      </c>
      <c r="P12" s="73" t="s">
        <v>2</v>
      </c>
      <c r="Q12" s="31"/>
      <c r="R12" s="31"/>
      <c r="S12" s="73"/>
      <c r="T12" s="73"/>
      <c r="U12" s="73"/>
      <c r="V12" s="73"/>
      <c r="W12" s="73"/>
      <c r="X12" s="73"/>
    </row>
    <row r="13" spans="4:24" ht="4.5" customHeight="1" thickBot="1">
      <c r="D13" s="34"/>
      <c r="E13" s="35"/>
      <c r="F13" s="34"/>
      <c r="G13" s="34"/>
      <c r="H13" s="34"/>
      <c r="I13" s="34"/>
      <c r="J13" s="34"/>
      <c r="K13" s="35"/>
      <c r="L13" s="35"/>
      <c r="M13" s="35"/>
      <c r="N13" s="34"/>
      <c r="O13" s="35"/>
      <c r="P13" s="34"/>
      <c r="Q13" s="35"/>
      <c r="R13" s="35"/>
      <c r="S13" s="34"/>
      <c r="T13" s="34"/>
      <c r="U13" s="34"/>
      <c r="V13" s="34"/>
      <c r="W13" s="34"/>
      <c r="X13" s="34"/>
    </row>
    <row r="14" spans="4:24" ht="21">
      <c r="D14" s="172" t="s">
        <v>67</v>
      </c>
      <c r="E14" s="174" t="s">
        <v>30</v>
      </c>
      <c r="F14" s="175"/>
      <c r="G14" s="175"/>
      <c r="H14" s="175"/>
      <c r="I14" s="175"/>
      <c r="J14" s="175"/>
      <c r="K14" s="175"/>
      <c r="L14" s="175"/>
      <c r="M14" s="175"/>
      <c r="N14" s="174" t="s">
        <v>14</v>
      </c>
      <c r="O14" s="174" t="s">
        <v>101</v>
      </c>
      <c r="P14" s="175" t="s">
        <v>1</v>
      </c>
      <c r="Q14" s="195" t="s">
        <v>31</v>
      </c>
      <c r="R14" s="197" t="s">
        <v>33</v>
      </c>
      <c r="S14" s="185" t="s">
        <v>32</v>
      </c>
      <c r="T14" s="189" t="s">
        <v>34</v>
      </c>
      <c r="U14" s="185" t="s">
        <v>35</v>
      </c>
      <c r="V14" s="117"/>
      <c r="W14" s="187" t="s">
        <v>37</v>
      </c>
      <c r="X14" s="191" t="s">
        <v>38</v>
      </c>
    </row>
    <row r="15" spans="4:24" ht="41.25" customHeight="1" thickBot="1">
      <c r="D15" s="173"/>
      <c r="E15" s="92" t="s">
        <v>16</v>
      </c>
      <c r="F15" s="93" t="s">
        <v>17</v>
      </c>
      <c r="G15" s="93" t="s">
        <v>18</v>
      </c>
      <c r="H15" s="93" t="s">
        <v>19</v>
      </c>
      <c r="I15" s="93" t="s">
        <v>20</v>
      </c>
      <c r="J15" s="93" t="s">
        <v>21</v>
      </c>
      <c r="K15" s="92" t="s">
        <v>22</v>
      </c>
      <c r="L15" s="92" t="s">
        <v>23</v>
      </c>
      <c r="M15" s="92" t="s">
        <v>24</v>
      </c>
      <c r="N15" s="176"/>
      <c r="O15" s="176"/>
      <c r="P15" s="176"/>
      <c r="Q15" s="196"/>
      <c r="R15" s="196"/>
      <c r="S15" s="186"/>
      <c r="T15" s="190"/>
      <c r="U15" s="186"/>
      <c r="V15" s="118" t="s">
        <v>36</v>
      </c>
      <c r="W15" s="188"/>
      <c r="X15" s="192"/>
    </row>
    <row r="16" spans="4:29" ht="20.25">
      <c r="D16" s="135" t="s">
        <v>99</v>
      </c>
      <c r="E16" s="95">
        <v>17.3164</v>
      </c>
      <c r="F16" s="96">
        <v>6</v>
      </c>
      <c r="G16" s="96">
        <v>3</v>
      </c>
      <c r="H16" s="97">
        <f aca="true" t="shared" si="0" ref="H16:H57">$K$11</f>
        <v>0</v>
      </c>
      <c r="I16" s="97">
        <f aca="true" t="shared" si="1" ref="I16:I57">$K$12</f>
        <v>0</v>
      </c>
      <c r="J16" s="98">
        <f aca="true" t="shared" si="2" ref="J16:J57">$O$11</f>
        <v>7</v>
      </c>
      <c r="K16" s="95">
        <f>(-1)*(J16/12)*((I16/100)+((F16+G16-1)*(H16/100))-(((H16+I16)/100)*((F16+1)/2))-(G16-1))</f>
        <v>1.1666666666666667</v>
      </c>
      <c r="L16" s="95">
        <v>5.5</v>
      </c>
      <c r="M16" s="95">
        <f aca="true" t="shared" si="3" ref="M16:M52">E16+K16+L16</f>
        <v>23.98306666666667</v>
      </c>
      <c r="N16" s="99">
        <f>1+(M16/100)</f>
        <v>1.2398306666666667</v>
      </c>
      <c r="O16" s="95">
        <f aca="true" t="shared" si="4" ref="O16:O57">1+($O$12/100)</f>
        <v>1.07</v>
      </c>
      <c r="P16" s="136">
        <f aca="true" t="shared" si="5" ref="P16:P52">ROUND(N16*O16,4)</f>
        <v>1.3266</v>
      </c>
      <c r="Q16" s="120">
        <v>17.155</v>
      </c>
      <c r="R16" s="121">
        <v>1</v>
      </c>
      <c r="S16" s="122">
        <f>R16/12*Q16*F16/12</f>
        <v>0.7147916666666667</v>
      </c>
      <c r="T16" s="99">
        <f>R16/12*J16</f>
        <v>0.5833333333333333</v>
      </c>
      <c r="U16" s="122">
        <v>0.625</v>
      </c>
      <c r="V16" s="122">
        <f>S16+T16+U16</f>
        <v>1.923125</v>
      </c>
      <c r="W16" s="122">
        <f>ROUND((N16+V16/100)*O16,4)</f>
        <v>1.3472</v>
      </c>
      <c r="X16" s="123">
        <f>ROUND((N16+2*(V16/100))*O16,4)</f>
        <v>1.3678</v>
      </c>
      <c r="Z16" s="38" t="s">
        <v>6</v>
      </c>
      <c r="AA16" s="40">
        <f>M4/1000000</f>
        <v>18</v>
      </c>
      <c r="AB16" s="38"/>
      <c r="AC16" s="26" t="s">
        <v>40</v>
      </c>
    </row>
    <row r="17" spans="4:30" ht="20.25" customHeight="1" hidden="1">
      <c r="D17" s="137">
        <v>5</v>
      </c>
      <c r="E17" s="102">
        <v>17.3164</v>
      </c>
      <c r="F17" s="103">
        <v>6</v>
      </c>
      <c r="G17" s="103">
        <v>3</v>
      </c>
      <c r="H17" s="104">
        <f t="shared" si="0"/>
        <v>0</v>
      </c>
      <c r="I17" s="104">
        <f t="shared" si="1"/>
        <v>0</v>
      </c>
      <c r="J17" s="105">
        <f t="shared" si="2"/>
        <v>7</v>
      </c>
      <c r="K17" s="102">
        <f>(-1)*(J17/12)*((I17/100)+((F17+G17-1)*(H17/100))-(((H17+I17)/100)*((F17+1)/2))-(G17-1))</f>
        <v>1.1666666666666667</v>
      </c>
      <c r="L17" s="102">
        <v>5.5</v>
      </c>
      <c r="M17" s="102">
        <f>E17+K17+L17</f>
        <v>23.98306666666667</v>
      </c>
      <c r="N17" s="106">
        <f>1+(M17/100)</f>
        <v>1.2398306666666667</v>
      </c>
      <c r="O17" s="102">
        <f t="shared" si="4"/>
        <v>1.07</v>
      </c>
      <c r="P17" s="125">
        <f>ROUND(N17*O17,4)</f>
        <v>1.3266</v>
      </c>
      <c r="Q17" s="126">
        <v>17.155</v>
      </c>
      <c r="R17" s="127">
        <v>1</v>
      </c>
      <c r="S17" s="128">
        <f>R17/12*Q17*F17/12</f>
        <v>0.7147916666666667</v>
      </c>
      <c r="T17" s="106">
        <f>R17/12*J17</f>
        <v>0.5833333333333333</v>
      </c>
      <c r="U17" s="128">
        <v>0.625</v>
      </c>
      <c r="V17" s="128">
        <f>S17+T17+U17</f>
        <v>1.923125</v>
      </c>
      <c r="W17" s="128">
        <f>ROUND((N17+V17/100)*O17,4)</f>
        <v>1.3472</v>
      </c>
      <c r="X17" s="129">
        <f>ROUND((N17+2*(V17/100))*O17,4)</f>
        <v>1.3678</v>
      </c>
      <c r="Z17" s="38" t="s">
        <v>7</v>
      </c>
      <c r="AA17" s="39">
        <f>VLOOKUP(AA16,D16:D56,1)</f>
        <v>10</v>
      </c>
      <c r="AB17" s="50">
        <f>IF($W$6=1,VLOOKUP(AA17,$D$17:$X$56,20,FALSE),IF($W$6=2,VLOOKUP(AA17,$D$17:$X$56,21,FALSE),VLOOKUP(AA17,$D$17:$X$56,13,FALSE)))</f>
        <v>1.2787</v>
      </c>
      <c r="AC17" s="26" t="s">
        <v>62</v>
      </c>
      <c r="AD17" s="26" t="s">
        <v>61</v>
      </c>
    </row>
    <row r="18" spans="4:33" ht="20.25">
      <c r="D18" s="137">
        <v>10</v>
      </c>
      <c r="E18" s="102">
        <v>12.8343</v>
      </c>
      <c r="F18" s="103">
        <v>9</v>
      </c>
      <c r="G18" s="103">
        <v>3</v>
      </c>
      <c r="H18" s="104">
        <f t="shared" si="0"/>
        <v>0</v>
      </c>
      <c r="I18" s="104">
        <f t="shared" si="1"/>
        <v>0</v>
      </c>
      <c r="J18" s="105">
        <f t="shared" si="2"/>
        <v>7</v>
      </c>
      <c r="K18" s="102">
        <f aca="true" t="shared" si="6" ref="K18:K52">(-1)*(J18/12)*((I18/100)+((F18+G18-1)*(H18/100))-(((H18+I18)/100)*((F18+1)/2))-(G18-1))</f>
        <v>1.1666666666666667</v>
      </c>
      <c r="L18" s="102">
        <v>5.5</v>
      </c>
      <c r="M18" s="102">
        <f t="shared" si="3"/>
        <v>19.500966666666667</v>
      </c>
      <c r="N18" s="106">
        <f aca="true" t="shared" si="7" ref="N18:N52">1+(M18/100)</f>
        <v>1.1950096666666667</v>
      </c>
      <c r="O18" s="102">
        <f t="shared" si="4"/>
        <v>1.07</v>
      </c>
      <c r="P18" s="125">
        <f t="shared" si="5"/>
        <v>1.2787</v>
      </c>
      <c r="Q18" s="126">
        <v>12.64</v>
      </c>
      <c r="R18" s="127">
        <v>1</v>
      </c>
      <c r="S18" s="128">
        <f>R18/12*Q18*F18/12</f>
        <v>0.7899999999999999</v>
      </c>
      <c r="T18" s="106">
        <f>R18/12*J18</f>
        <v>0.5833333333333333</v>
      </c>
      <c r="U18" s="128">
        <v>0.625</v>
      </c>
      <c r="V18" s="128">
        <f>S18+T18+U18</f>
        <v>1.998333333333333</v>
      </c>
      <c r="W18" s="128">
        <f>ROUND((N18+V18/100)*O18,4)</f>
        <v>1.3</v>
      </c>
      <c r="X18" s="129">
        <f aca="true" t="shared" si="8" ref="X18:X52">ROUND((N18+2*(V18/100))*O18,4)</f>
        <v>1.3214</v>
      </c>
      <c r="Z18" s="38" t="s">
        <v>9</v>
      </c>
      <c r="AA18" s="41">
        <f>MATCH(AA17,D16:D56)</f>
        <v>3</v>
      </c>
      <c r="AB18" s="50"/>
      <c r="AC18" s="26" t="s">
        <v>42</v>
      </c>
      <c r="AD18" s="26">
        <v>1</v>
      </c>
      <c r="AG18" s="71"/>
    </row>
    <row r="19" spans="4:33" ht="20.25">
      <c r="D19" s="137">
        <v>20</v>
      </c>
      <c r="E19" s="102">
        <v>9.6069</v>
      </c>
      <c r="F19" s="103">
        <v>12</v>
      </c>
      <c r="G19" s="103">
        <v>3</v>
      </c>
      <c r="H19" s="104">
        <f t="shared" si="0"/>
        <v>0</v>
      </c>
      <c r="I19" s="104">
        <f t="shared" si="1"/>
        <v>0</v>
      </c>
      <c r="J19" s="105">
        <f t="shared" si="2"/>
        <v>7</v>
      </c>
      <c r="K19" s="102">
        <f t="shared" si="6"/>
        <v>1.1666666666666667</v>
      </c>
      <c r="L19" s="102">
        <v>5.5</v>
      </c>
      <c r="M19" s="102">
        <f t="shared" si="3"/>
        <v>16.273566666666667</v>
      </c>
      <c r="N19" s="106">
        <f t="shared" si="7"/>
        <v>1.1627356666666666</v>
      </c>
      <c r="O19" s="102">
        <f t="shared" si="4"/>
        <v>1.07</v>
      </c>
      <c r="P19" s="125">
        <f t="shared" si="5"/>
        <v>1.2441</v>
      </c>
      <c r="Q19" s="126">
        <v>9.382</v>
      </c>
      <c r="R19" s="127">
        <v>1</v>
      </c>
      <c r="S19" s="128">
        <f>R19/12*Q19*F19/12</f>
        <v>0.7818333333333333</v>
      </c>
      <c r="T19" s="106">
        <f>R19/12*J19</f>
        <v>0.5833333333333333</v>
      </c>
      <c r="U19" s="128">
        <v>0.625</v>
      </c>
      <c r="V19" s="128">
        <f>S19+T19+U19</f>
        <v>1.9901666666666666</v>
      </c>
      <c r="W19" s="128">
        <f aca="true" t="shared" si="9" ref="W19:W52">ROUND((N19+V19/100)*O19,4)</f>
        <v>1.2654</v>
      </c>
      <c r="X19" s="129">
        <f t="shared" si="8"/>
        <v>1.2867</v>
      </c>
      <c r="Z19" s="42" t="s">
        <v>10</v>
      </c>
      <c r="AA19" s="41">
        <f>AA18+1</f>
        <v>4</v>
      </c>
      <c r="AB19" s="51"/>
      <c r="AC19" s="26" t="s">
        <v>43</v>
      </c>
      <c r="AD19" s="26">
        <v>1</v>
      </c>
      <c r="AG19" s="71"/>
    </row>
    <row r="20" spans="4:33" ht="20.25">
      <c r="D20" s="137">
        <v>30</v>
      </c>
      <c r="E20" s="102">
        <v>8.1478</v>
      </c>
      <c r="F20" s="103">
        <v>13</v>
      </c>
      <c r="G20" s="103">
        <v>3</v>
      </c>
      <c r="H20" s="104">
        <f t="shared" si="0"/>
        <v>0</v>
      </c>
      <c r="I20" s="104">
        <f t="shared" si="1"/>
        <v>0</v>
      </c>
      <c r="J20" s="105">
        <f t="shared" si="2"/>
        <v>7</v>
      </c>
      <c r="K20" s="102">
        <f>(-1)*(J20/12)*((I20/100)+((F20+G20-1)*(H20/100))-(((H20+I20)/100)*((F20+1)/2))-(G20-1))</f>
        <v>1.1666666666666667</v>
      </c>
      <c r="L20" s="102">
        <v>5.5</v>
      </c>
      <c r="M20" s="102">
        <f t="shared" si="3"/>
        <v>14.814466666666666</v>
      </c>
      <c r="N20" s="106">
        <f t="shared" si="7"/>
        <v>1.1481446666666666</v>
      </c>
      <c r="O20" s="102">
        <f t="shared" si="4"/>
        <v>1.07</v>
      </c>
      <c r="P20" s="125">
        <f t="shared" si="5"/>
        <v>1.2285</v>
      </c>
      <c r="Q20" s="126">
        <v>7.916</v>
      </c>
      <c r="R20" s="127">
        <v>1</v>
      </c>
      <c r="S20" s="128">
        <f aca="true" t="shared" si="10" ref="S20:S52">R20/12*Q20*F20/12</f>
        <v>0.7146388888888889</v>
      </c>
      <c r="T20" s="106">
        <f aca="true" t="shared" si="11" ref="T20:T52">R20/12*J20</f>
        <v>0.5833333333333333</v>
      </c>
      <c r="U20" s="128">
        <v>0.625</v>
      </c>
      <c r="V20" s="128">
        <f aca="true" t="shared" si="12" ref="V20:V52">S20+T20+U20</f>
        <v>1.922972222222222</v>
      </c>
      <c r="W20" s="128">
        <f t="shared" si="9"/>
        <v>1.2491</v>
      </c>
      <c r="X20" s="129">
        <f t="shared" si="8"/>
        <v>1.2697</v>
      </c>
      <c r="Z20" s="38" t="s">
        <v>8</v>
      </c>
      <c r="AA20" s="41">
        <f>INDEX(D16:D56,AA19)</f>
        <v>20</v>
      </c>
      <c r="AB20" s="50">
        <f>IF($W$6=1,VLOOKUP(AA20,$D$17:$X$56,20,FALSE),IF($W$6=2,VLOOKUP(AA20,$D$17:$X$56,21,FALSE),VLOOKUP(AA20,$D$17:$X$56,13,FALSE)))</f>
        <v>1.2441</v>
      </c>
      <c r="AC20" s="26" t="s">
        <v>44</v>
      </c>
      <c r="AD20" s="26">
        <v>1</v>
      </c>
      <c r="AG20" s="71"/>
    </row>
    <row r="21" spans="4:33" ht="20.25">
      <c r="D21" s="137">
        <v>40</v>
      </c>
      <c r="E21" s="102">
        <v>7.2722</v>
      </c>
      <c r="F21" s="103">
        <v>14</v>
      </c>
      <c r="G21" s="103">
        <v>3</v>
      </c>
      <c r="H21" s="104">
        <f t="shared" si="0"/>
        <v>0</v>
      </c>
      <c r="I21" s="104">
        <f t="shared" si="1"/>
        <v>0</v>
      </c>
      <c r="J21" s="105">
        <f t="shared" si="2"/>
        <v>7</v>
      </c>
      <c r="K21" s="102">
        <f t="shared" si="6"/>
        <v>1.1666666666666667</v>
      </c>
      <c r="L21" s="102">
        <v>5</v>
      </c>
      <c r="M21" s="102">
        <f t="shared" si="3"/>
        <v>13.438866666666666</v>
      </c>
      <c r="N21" s="106">
        <f t="shared" si="7"/>
        <v>1.1343886666666667</v>
      </c>
      <c r="O21" s="102">
        <f t="shared" si="4"/>
        <v>1.07</v>
      </c>
      <c r="P21" s="125">
        <f t="shared" si="5"/>
        <v>1.2138</v>
      </c>
      <c r="Q21" s="126">
        <v>7.026</v>
      </c>
      <c r="R21" s="127">
        <v>1</v>
      </c>
      <c r="S21" s="128">
        <f t="shared" si="10"/>
        <v>0.6830833333333333</v>
      </c>
      <c r="T21" s="106">
        <f t="shared" si="11"/>
        <v>0.5833333333333333</v>
      </c>
      <c r="U21" s="128">
        <v>0.625</v>
      </c>
      <c r="V21" s="128">
        <f t="shared" si="12"/>
        <v>1.8914166666666665</v>
      </c>
      <c r="W21" s="128">
        <f t="shared" si="9"/>
        <v>1.234</v>
      </c>
      <c r="X21" s="129">
        <f t="shared" si="8"/>
        <v>1.2543</v>
      </c>
      <c r="Z21" s="38" t="s">
        <v>12</v>
      </c>
      <c r="AA21" s="41"/>
      <c r="AB21" s="50">
        <f>ROUND((AB17-((AB17-AB20)*(AA16-AA17)/(AA20-AA17))),4)</f>
        <v>1.251</v>
      </c>
      <c r="AC21" s="26" t="s">
        <v>45</v>
      </c>
      <c r="AD21" s="26">
        <v>1</v>
      </c>
      <c r="AG21" s="71"/>
    </row>
    <row r="22" spans="4:30" ht="20.25">
      <c r="D22" s="137">
        <v>50</v>
      </c>
      <c r="E22" s="102">
        <v>6.6728</v>
      </c>
      <c r="F22" s="103">
        <v>15</v>
      </c>
      <c r="G22" s="103">
        <v>3</v>
      </c>
      <c r="H22" s="104">
        <f t="shared" si="0"/>
        <v>0</v>
      </c>
      <c r="I22" s="104">
        <f t="shared" si="1"/>
        <v>0</v>
      </c>
      <c r="J22" s="105">
        <f t="shared" si="2"/>
        <v>7</v>
      </c>
      <c r="K22" s="102">
        <f t="shared" si="6"/>
        <v>1.1666666666666667</v>
      </c>
      <c r="L22" s="102">
        <v>5</v>
      </c>
      <c r="M22" s="102">
        <f t="shared" si="3"/>
        <v>12.839466666666667</v>
      </c>
      <c r="N22" s="106">
        <f t="shared" si="7"/>
        <v>1.1283946666666667</v>
      </c>
      <c r="O22" s="102">
        <f t="shared" si="4"/>
        <v>1.07</v>
      </c>
      <c r="P22" s="125">
        <f t="shared" si="5"/>
        <v>1.2074</v>
      </c>
      <c r="Q22" s="126">
        <v>6.418</v>
      </c>
      <c r="R22" s="127">
        <v>1</v>
      </c>
      <c r="S22" s="128">
        <f t="shared" si="10"/>
        <v>0.6685416666666666</v>
      </c>
      <c r="T22" s="106">
        <f t="shared" si="11"/>
        <v>0.5833333333333333</v>
      </c>
      <c r="U22" s="128">
        <v>0.625</v>
      </c>
      <c r="V22" s="128">
        <f t="shared" si="12"/>
        <v>1.8768749999999998</v>
      </c>
      <c r="W22" s="128">
        <f t="shared" si="9"/>
        <v>1.2275</v>
      </c>
      <c r="X22" s="129">
        <f t="shared" si="8"/>
        <v>1.2475</v>
      </c>
      <c r="Z22" s="38">
        <v>0</v>
      </c>
      <c r="AA22" s="43">
        <v>5</v>
      </c>
      <c r="AB22" s="38">
        <v>7</v>
      </c>
      <c r="AC22" s="26" t="s">
        <v>47</v>
      </c>
      <c r="AD22" s="26">
        <v>1</v>
      </c>
    </row>
    <row r="23" spans="4:30" ht="20.25">
      <c r="D23" s="137">
        <v>60</v>
      </c>
      <c r="E23" s="102">
        <v>6.2195</v>
      </c>
      <c r="F23" s="103">
        <v>15</v>
      </c>
      <c r="G23" s="103">
        <v>3</v>
      </c>
      <c r="H23" s="104">
        <f t="shared" si="0"/>
        <v>0</v>
      </c>
      <c r="I23" s="104">
        <f t="shared" si="1"/>
        <v>0</v>
      </c>
      <c r="J23" s="105">
        <f t="shared" si="2"/>
        <v>7</v>
      </c>
      <c r="K23" s="102">
        <f t="shared" si="6"/>
        <v>1.1666666666666667</v>
      </c>
      <c r="L23" s="102">
        <v>5</v>
      </c>
      <c r="M23" s="102">
        <f t="shared" si="3"/>
        <v>12.386166666666668</v>
      </c>
      <c r="N23" s="106">
        <f t="shared" si="7"/>
        <v>1.1238616666666668</v>
      </c>
      <c r="O23" s="102">
        <f t="shared" si="4"/>
        <v>1.07</v>
      </c>
      <c r="P23" s="125">
        <f t="shared" si="5"/>
        <v>1.2025</v>
      </c>
      <c r="Q23" s="126">
        <v>5.964</v>
      </c>
      <c r="R23" s="127">
        <v>1</v>
      </c>
      <c r="S23" s="128">
        <f t="shared" si="10"/>
        <v>0.62125</v>
      </c>
      <c r="T23" s="106">
        <f t="shared" si="11"/>
        <v>0.5833333333333333</v>
      </c>
      <c r="U23" s="128">
        <v>0.625</v>
      </c>
      <c r="V23" s="128">
        <f t="shared" si="12"/>
        <v>1.8295833333333333</v>
      </c>
      <c r="W23" s="128">
        <f t="shared" si="9"/>
        <v>1.2221</v>
      </c>
      <c r="X23" s="129">
        <f t="shared" si="8"/>
        <v>1.2417</v>
      </c>
      <c r="Z23" s="38">
        <v>5</v>
      </c>
      <c r="AA23" s="43">
        <v>6</v>
      </c>
      <c r="AB23" s="38">
        <v>10</v>
      </c>
      <c r="AC23" s="26" t="s">
        <v>48</v>
      </c>
      <c r="AD23" s="26">
        <v>1</v>
      </c>
    </row>
    <row r="24" spans="4:30" ht="20.25">
      <c r="D24" s="137">
        <v>70</v>
      </c>
      <c r="E24" s="102">
        <v>5.8756</v>
      </c>
      <c r="F24" s="103">
        <v>16</v>
      </c>
      <c r="G24" s="103">
        <v>3</v>
      </c>
      <c r="H24" s="104">
        <f t="shared" si="0"/>
        <v>0</v>
      </c>
      <c r="I24" s="104">
        <f t="shared" si="1"/>
        <v>0</v>
      </c>
      <c r="J24" s="105">
        <f t="shared" si="2"/>
        <v>7</v>
      </c>
      <c r="K24" s="102">
        <f t="shared" si="6"/>
        <v>1.1666666666666667</v>
      </c>
      <c r="L24" s="102">
        <v>4.5</v>
      </c>
      <c r="M24" s="102">
        <f t="shared" si="3"/>
        <v>11.542266666666666</v>
      </c>
      <c r="N24" s="106">
        <f t="shared" si="7"/>
        <v>1.1154226666666667</v>
      </c>
      <c r="O24" s="102">
        <f t="shared" si="4"/>
        <v>1.07</v>
      </c>
      <c r="P24" s="138">
        <f t="shared" si="5"/>
        <v>1.1935</v>
      </c>
      <c r="Q24" s="126">
        <v>5.609</v>
      </c>
      <c r="R24" s="127">
        <v>1</v>
      </c>
      <c r="S24" s="128">
        <f t="shared" si="10"/>
        <v>0.6232222222222222</v>
      </c>
      <c r="T24" s="106">
        <f t="shared" si="11"/>
        <v>0.5833333333333333</v>
      </c>
      <c r="U24" s="128">
        <v>0.625</v>
      </c>
      <c r="V24" s="128">
        <f t="shared" si="12"/>
        <v>1.8315555555555556</v>
      </c>
      <c r="W24" s="128">
        <f t="shared" si="9"/>
        <v>1.2131</v>
      </c>
      <c r="X24" s="129">
        <f t="shared" si="8"/>
        <v>1.2327</v>
      </c>
      <c r="Z24" s="38">
        <v>10</v>
      </c>
      <c r="AA24" s="44">
        <v>7</v>
      </c>
      <c r="AB24" s="38"/>
      <c r="AC24" s="26" t="s">
        <v>50</v>
      </c>
      <c r="AD24" s="26">
        <v>1</v>
      </c>
    </row>
    <row r="25" spans="4:30" ht="20.25">
      <c r="D25" s="137">
        <v>80</v>
      </c>
      <c r="E25" s="102">
        <v>5.599</v>
      </c>
      <c r="F25" s="103">
        <v>17</v>
      </c>
      <c r="G25" s="103">
        <v>3</v>
      </c>
      <c r="H25" s="104">
        <f t="shared" si="0"/>
        <v>0</v>
      </c>
      <c r="I25" s="104">
        <f t="shared" si="1"/>
        <v>0</v>
      </c>
      <c r="J25" s="105">
        <f t="shared" si="2"/>
        <v>7</v>
      </c>
      <c r="K25" s="102">
        <f t="shared" si="6"/>
        <v>1.1666666666666667</v>
      </c>
      <c r="L25" s="102">
        <v>4.5</v>
      </c>
      <c r="M25" s="102">
        <f t="shared" si="3"/>
        <v>11.265666666666668</v>
      </c>
      <c r="N25" s="106">
        <f t="shared" si="7"/>
        <v>1.1126566666666666</v>
      </c>
      <c r="O25" s="102">
        <f t="shared" si="4"/>
        <v>1.07</v>
      </c>
      <c r="P25" s="125">
        <f t="shared" si="5"/>
        <v>1.1905</v>
      </c>
      <c r="Q25" s="126">
        <v>5.32</v>
      </c>
      <c r="R25" s="127">
        <v>1</v>
      </c>
      <c r="S25" s="128">
        <f t="shared" si="10"/>
        <v>0.6280555555555556</v>
      </c>
      <c r="T25" s="106">
        <f t="shared" si="11"/>
        <v>0.5833333333333333</v>
      </c>
      <c r="U25" s="128">
        <v>0.625</v>
      </c>
      <c r="V25" s="128">
        <f t="shared" si="12"/>
        <v>1.8363888888888888</v>
      </c>
      <c r="W25" s="128">
        <f t="shared" si="9"/>
        <v>1.2102</v>
      </c>
      <c r="X25" s="129">
        <f t="shared" si="8"/>
        <v>1.2298</v>
      </c>
      <c r="Z25" s="38">
        <v>15</v>
      </c>
      <c r="AA25" s="44">
        <v>8</v>
      </c>
      <c r="AB25" s="38"/>
      <c r="AC25" s="26" t="s">
        <v>51</v>
      </c>
      <c r="AD25" s="26">
        <v>1</v>
      </c>
    </row>
    <row r="26" spans="4:30" ht="20.25">
      <c r="D26" s="137">
        <v>90</v>
      </c>
      <c r="E26" s="102">
        <v>5.3706</v>
      </c>
      <c r="F26" s="103">
        <v>18</v>
      </c>
      <c r="G26" s="103">
        <v>3</v>
      </c>
      <c r="H26" s="104">
        <f t="shared" si="0"/>
        <v>0</v>
      </c>
      <c r="I26" s="104">
        <f t="shared" si="1"/>
        <v>0</v>
      </c>
      <c r="J26" s="105">
        <f t="shared" si="2"/>
        <v>7</v>
      </c>
      <c r="K26" s="102">
        <f t="shared" si="6"/>
        <v>1.1666666666666667</v>
      </c>
      <c r="L26" s="102">
        <v>4.5</v>
      </c>
      <c r="M26" s="102">
        <f t="shared" si="3"/>
        <v>11.037266666666667</v>
      </c>
      <c r="N26" s="106">
        <f t="shared" si="7"/>
        <v>1.1103726666666667</v>
      </c>
      <c r="O26" s="102">
        <f t="shared" si="4"/>
        <v>1.07</v>
      </c>
      <c r="P26" s="125">
        <f t="shared" si="5"/>
        <v>1.1881</v>
      </c>
      <c r="Q26" s="126">
        <v>5.084</v>
      </c>
      <c r="R26" s="127">
        <v>1</v>
      </c>
      <c r="S26" s="128">
        <f t="shared" si="10"/>
        <v>0.6355</v>
      </c>
      <c r="T26" s="106">
        <f t="shared" si="11"/>
        <v>0.5833333333333333</v>
      </c>
      <c r="U26" s="128">
        <v>0.625</v>
      </c>
      <c r="V26" s="128">
        <f t="shared" si="12"/>
        <v>1.8438333333333332</v>
      </c>
      <c r="W26" s="128">
        <f t="shared" si="9"/>
        <v>1.2078</v>
      </c>
      <c r="X26" s="129">
        <f t="shared" si="8"/>
        <v>1.2276</v>
      </c>
      <c r="Z26" s="38"/>
      <c r="AA26" s="43">
        <v>9</v>
      </c>
      <c r="AB26" s="38"/>
      <c r="AC26" s="26" t="s">
        <v>53</v>
      </c>
      <c r="AD26" s="26">
        <v>1</v>
      </c>
    </row>
    <row r="27" spans="4:30" ht="20.25">
      <c r="D27" s="137">
        <v>100</v>
      </c>
      <c r="E27" s="102">
        <v>5.1678</v>
      </c>
      <c r="F27" s="103">
        <v>18</v>
      </c>
      <c r="G27" s="103">
        <v>3</v>
      </c>
      <c r="H27" s="104">
        <f t="shared" si="0"/>
        <v>0</v>
      </c>
      <c r="I27" s="104">
        <f t="shared" si="1"/>
        <v>0</v>
      </c>
      <c r="J27" s="105">
        <f t="shared" si="2"/>
        <v>7</v>
      </c>
      <c r="K27" s="102">
        <f t="shared" si="6"/>
        <v>1.1666666666666667</v>
      </c>
      <c r="L27" s="102">
        <v>4.5</v>
      </c>
      <c r="M27" s="102">
        <f t="shared" si="3"/>
        <v>10.834466666666668</v>
      </c>
      <c r="N27" s="106">
        <f t="shared" si="7"/>
        <v>1.1083446666666668</v>
      </c>
      <c r="O27" s="102">
        <f t="shared" si="4"/>
        <v>1.07</v>
      </c>
      <c r="P27" s="125">
        <f t="shared" si="5"/>
        <v>1.1859</v>
      </c>
      <c r="Q27" s="126">
        <v>4.88</v>
      </c>
      <c r="R27" s="127">
        <v>1</v>
      </c>
      <c r="S27" s="128">
        <f t="shared" si="10"/>
        <v>0.61</v>
      </c>
      <c r="T27" s="106">
        <f t="shared" si="11"/>
        <v>0.5833333333333333</v>
      </c>
      <c r="U27" s="128">
        <v>0.625</v>
      </c>
      <c r="V27" s="128">
        <f t="shared" si="12"/>
        <v>1.8183333333333334</v>
      </c>
      <c r="W27" s="128">
        <f t="shared" si="9"/>
        <v>1.2054</v>
      </c>
      <c r="X27" s="129">
        <f t="shared" si="8"/>
        <v>1.2248</v>
      </c>
      <c r="Z27" s="38"/>
      <c r="AA27" s="43">
        <v>10</v>
      </c>
      <c r="AB27" s="38"/>
      <c r="AC27" s="26" t="s">
        <v>57</v>
      </c>
      <c r="AD27" s="26">
        <v>1</v>
      </c>
    </row>
    <row r="28" spans="4:30" ht="20.25">
      <c r="D28" s="137">
        <v>110</v>
      </c>
      <c r="E28" s="102">
        <v>5.0032</v>
      </c>
      <c r="F28" s="103">
        <v>19</v>
      </c>
      <c r="G28" s="103">
        <v>3</v>
      </c>
      <c r="H28" s="104">
        <f t="shared" si="0"/>
        <v>0</v>
      </c>
      <c r="I28" s="104">
        <f t="shared" si="1"/>
        <v>0</v>
      </c>
      <c r="J28" s="105">
        <f t="shared" si="2"/>
        <v>7</v>
      </c>
      <c r="K28" s="102">
        <f t="shared" si="6"/>
        <v>1.1666666666666667</v>
      </c>
      <c r="L28" s="102">
        <v>4</v>
      </c>
      <c r="M28" s="102">
        <f t="shared" si="3"/>
        <v>10.169866666666667</v>
      </c>
      <c r="N28" s="106">
        <f t="shared" si="7"/>
        <v>1.1016986666666666</v>
      </c>
      <c r="O28" s="102">
        <f t="shared" si="4"/>
        <v>1.07</v>
      </c>
      <c r="P28" s="125">
        <f t="shared" si="5"/>
        <v>1.1788</v>
      </c>
      <c r="Q28" s="126">
        <v>4.706</v>
      </c>
      <c r="R28" s="127">
        <v>1</v>
      </c>
      <c r="S28" s="128">
        <f t="shared" si="10"/>
        <v>0.6209305555555555</v>
      </c>
      <c r="T28" s="106">
        <f t="shared" si="11"/>
        <v>0.5833333333333333</v>
      </c>
      <c r="U28" s="128">
        <v>0.625</v>
      </c>
      <c r="V28" s="128">
        <f t="shared" si="12"/>
        <v>1.8292638888888888</v>
      </c>
      <c r="W28" s="128">
        <f t="shared" si="9"/>
        <v>1.1984</v>
      </c>
      <c r="X28" s="129">
        <f t="shared" si="8"/>
        <v>1.218</v>
      </c>
      <c r="AC28" s="26" t="s">
        <v>58</v>
      </c>
      <c r="AD28" s="26">
        <v>1</v>
      </c>
    </row>
    <row r="29" spans="4:30" ht="20.25">
      <c r="D29" s="137">
        <v>120</v>
      </c>
      <c r="E29" s="102">
        <v>4.8499</v>
      </c>
      <c r="F29" s="103">
        <v>19</v>
      </c>
      <c r="G29" s="103">
        <v>3</v>
      </c>
      <c r="H29" s="104">
        <f t="shared" si="0"/>
        <v>0</v>
      </c>
      <c r="I29" s="104">
        <f t="shared" si="1"/>
        <v>0</v>
      </c>
      <c r="J29" s="105">
        <f t="shared" si="2"/>
        <v>7</v>
      </c>
      <c r="K29" s="102">
        <f t="shared" si="6"/>
        <v>1.1666666666666667</v>
      </c>
      <c r="L29" s="102">
        <v>4</v>
      </c>
      <c r="M29" s="102">
        <f t="shared" si="3"/>
        <v>10.016566666666666</v>
      </c>
      <c r="N29" s="106">
        <f t="shared" si="7"/>
        <v>1.1001656666666666</v>
      </c>
      <c r="O29" s="102">
        <f t="shared" si="4"/>
        <v>1.07</v>
      </c>
      <c r="P29" s="125">
        <f t="shared" si="5"/>
        <v>1.1772</v>
      </c>
      <c r="Q29" s="126">
        <v>4.555</v>
      </c>
      <c r="R29" s="127">
        <v>1</v>
      </c>
      <c r="S29" s="128">
        <f t="shared" si="10"/>
        <v>0.6010069444444444</v>
      </c>
      <c r="T29" s="106">
        <f t="shared" si="11"/>
        <v>0.5833333333333333</v>
      </c>
      <c r="U29" s="128">
        <v>0.625</v>
      </c>
      <c r="V29" s="128">
        <f t="shared" si="12"/>
        <v>1.8093402777777776</v>
      </c>
      <c r="W29" s="128">
        <f t="shared" si="9"/>
        <v>1.1965</v>
      </c>
      <c r="X29" s="129">
        <f t="shared" si="8"/>
        <v>1.2159</v>
      </c>
      <c r="AC29" s="26" t="s">
        <v>59</v>
      </c>
      <c r="AD29" s="26">
        <v>1</v>
      </c>
    </row>
    <row r="30" spans="4:30" ht="20.25">
      <c r="D30" s="137">
        <v>130</v>
      </c>
      <c r="E30" s="102">
        <v>4.7248</v>
      </c>
      <c r="F30" s="103">
        <v>20</v>
      </c>
      <c r="G30" s="103">
        <v>3</v>
      </c>
      <c r="H30" s="104">
        <f t="shared" si="0"/>
        <v>0</v>
      </c>
      <c r="I30" s="104">
        <f t="shared" si="1"/>
        <v>0</v>
      </c>
      <c r="J30" s="105">
        <f t="shared" si="2"/>
        <v>7</v>
      </c>
      <c r="K30" s="102">
        <f t="shared" si="6"/>
        <v>1.1666666666666667</v>
      </c>
      <c r="L30" s="102">
        <v>4</v>
      </c>
      <c r="M30" s="102">
        <f t="shared" si="3"/>
        <v>9.891466666666666</v>
      </c>
      <c r="N30" s="106">
        <f t="shared" si="7"/>
        <v>1.0989146666666667</v>
      </c>
      <c r="O30" s="102">
        <f t="shared" si="4"/>
        <v>1.07</v>
      </c>
      <c r="P30" s="125">
        <f t="shared" si="5"/>
        <v>1.1758</v>
      </c>
      <c r="Q30" s="126">
        <v>4.416</v>
      </c>
      <c r="R30" s="127">
        <v>1</v>
      </c>
      <c r="S30" s="128">
        <f t="shared" si="10"/>
        <v>0.6133333333333333</v>
      </c>
      <c r="T30" s="106">
        <f t="shared" si="11"/>
        <v>0.5833333333333333</v>
      </c>
      <c r="U30" s="128">
        <v>0.625</v>
      </c>
      <c r="V30" s="128">
        <f t="shared" si="12"/>
        <v>1.8216666666666665</v>
      </c>
      <c r="W30" s="128">
        <f t="shared" si="9"/>
        <v>1.1953</v>
      </c>
      <c r="X30" s="129">
        <f t="shared" si="8"/>
        <v>1.2148</v>
      </c>
      <c r="AC30" s="26" t="s">
        <v>60</v>
      </c>
      <c r="AD30" s="26">
        <v>1</v>
      </c>
    </row>
    <row r="31" spans="4:30" ht="20.25">
      <c r="D31" s="137">
        <v>140</v>
      </c>
      <c r="E31" s="102">
        <v>4.6037</v>
      </c>
      <c r="F31" s="103">
        <v>20</v>
      </c>
      <c r="G31" s="103">
        <v>3</v>
      </c>
      <c r="H31" s="104">
        <f t="shared" si="0"/>
        <v>0</v>
      </c>
      <c r="I31" s="104">
        <f t="shared" si="1"/>
        <v>0</v>
      </c>
      <c r="J31" s="105">
        <f t="shared" si="2"/>
        <v>7</v>
      </c>
      <c r="K31" s="102">
        <f t="shared" si="6"/>
        <v>1.1666666666666667</v>
      </c>
      <c r="L31" s="102">
        <v>4</v>
      </c>
      <c r="M31" s="102">
        <f t="shared" si="3"/>
        <v>9.770366666666668</v>
      </c>
      <c r="N31" s="106">
        <f t="shared" si="7"/>
        <v>1.0977036666666666</v>
      </c>
      <c r="O31" s="102">
        <f t="shared" si="4"/>
        <v>1.07</v>
      </c>
      <c r="P31" s="125">
        <f t="shared" si="5"/>
        <v>1.1745</v>
      </c>
      <c r="Q31" s="126">
        <v>4.295</v>
      </c>
      <c r="R31" s="127">
        <v>1</v>
      </c>
      <c r="S31" s="128">
        <f t="shared" si="10"/>
        <v>0.5965277777777778</v>
      </c>
      <c r="T31" s="106">
        <f t="shared" si="11"/>
        <v>0.5833333333333333</v>
      </c>
      <c r="U31" s="128">
        <v>0.625</v>
      </c>
      <c r="V31" s="128">
        <f t="shared" si="12"/>
        <v>1.804861111111111</v>
      </c>
      <c r="W31" s="128">
        <f t="shared" si="9"/>
        <v>1.1939</v>
      </c>
      <c r="X31" s="129">
        <f t="shared" si="8"/>
        <v>1.2132</v>
      </c>
      <c r="AC31" s="26" t="s">
        <v>46</v>
      </c>
      <c r="AD31" s="26">
        <v>2</v>
      </c>
    </row>
    <row r="32" spans="4:30" ht="20.25">
      <c r="D32" s="137">
        <v>150</v>
      </c>
      <c r="E32" s="102">
        <v>4.4946</v>
      </c>
      <c r="F32" s="103">
        <v>20</v>
      </c>
      <c r="G32" s="103">
        <v>3</v>
      </c>
      <c r="H32" s="104">
        <f t="shared" si="0"/>
        <v>0</v>
      </c>
      <c r="I32" s="104">
        <f t="shared" si="1"/>
        <v>0</v>
      </c>
      <c r="J32" s="105">
        <f t="shared" si="2"/>
        <v>7</v>
      </c>
      <c r="K32" s="102">
        <f t="shared" si="6"/>
        <v>1.1666666666666667</v>
      </c>
      <c r="L32" s="102">
        <v>4</v>
      </c>
      <c r="M32" s="102">
        <f t="shared" si="3"/>
        <v>9.661266666666666</v>
      </c>
      <c r="N32" s="106">
        <f t="shared" si="7"/>
        <v>1.0966126666666667</v>
      </c>
      <c r="O32" s="102">
        <f t="shared" si="4"/>
        <v>1.07</v>
      </c>
      <c r="P32" s="125">
        <f t="shared" si="5"/>
        <v>1.1734</v>
      </c>
      <c r="Q32" s="126">
        <v>4.186</v>
      </c>
      <c r="R32" s="127">
        <v>1</v>
      </c>
      <c r="S32" s="128">
        <f t="shared" si="10"/>
        <v>0.5813888888888888</v>
      </c>
      <c r="T32" s="106">
        <f t="shared" si="11"/>
        <v>0.5833333333333333</v>
      </c>
      <c r="U32" s="128">
        <v>0.625</v>
      </c>
      <c r="V32" s="128">
        <f t="shared" si="12"/>
        <v>1.7897222222222222</v>
      </c>
      <c r="W32" s="128">
        <f t="shared" si="9"/>
        <v>1.1925</v>
      </c>
      <c r="X32" s="129">
        <f t="shared" si="8"/>
        <v>1.2117</v>
      </c>
      <c r="AC32" s="26" t="s">
        <v>49</v>
      </c>
      <c r="AD32" s="26">
        <v>2</v>
      </c>
    </row>
    <row r="33" spans="4:30" ht="20.25">
      <c r="D33" s="137">
        <v>160</v>
      </c>
      <c r="E33" s="102">
        <v>4.4061</v>
      </c>
      <c r="F33" s="103">
        <v>21</v>
      </c>
      <c r="G33" s="103">
        <v>3</v>
      </c>
      <c r="H33" s="104">
        <f t="shared" si="0"/>
        <v>0</v>
      </c>
      <c r="I33" s="104">
        <f t="shared" si="1"/>
        <v>0</v>
      </c>
      <c r="J33" s="105">
        <f t="shared" si="2"/>
        <v>7</v>
      </c>
      <c r="K33" s="102">
        <f t="shared" si="6"/>
        <v>1.1666666666666667</v>
      </c>
      <c r="L33" s="102">
        <v>4</v>
      </c>
      <c r="M33" s="102">
        <f t="shared" si="3"/>
        <v>9.572766666666666</v>
      </c>
      <c r="N33" s="106">
        <f t="shared" si="7"/>
        <v>1.0957276666666667</v>
      </c>
      <c r="O33" s="102">
        <f t="shared" si="4"/>
        <v>1.07</v>
      </c>
      <c r="P33" s="125">
        <f t="shared" si="5"/>
        <v>1.1724</v>
      </c>
      <c r="Q33" s="126">
        <v>4.087</v>
      </c>
      <c r="R33" s="127">
        <v>1</v>
      </c>
      <c r="S33" s="128">
        <f t="shared" si="10"/>
        <v>0.5960208333333333</v>
      </c>
      <c r="T33" s="106">
        <f t="shared" si="11"/>
        <v>0.5833333333333333</v>
      </c>
      <c r="U33" s="128">
        <v>0.625</v>
      </c>
      <c r="V33" s="128">
        <f t="shared" si="12"/>
        <v>1.8043541666666667</v>
      </c>
      <c r="W33" s="128">
        <f t="shared" si="9"/>
        <v>1.1917</v>
      </c>
      <c r="X33" s="129">
        <f t="shared" si="8"/>
        <v>1.211</v>
      </c>
      <c r="AC33" s="26" t="s">
        <v>52</v>
      </c>
      <c r="AD33" s="26">
        <v>2</v>
      </c>
    </row>
    <row r="34" spans="4:30" ht="20.25">
      <c r="D34" s="137">
        <v>170</v>
      </c>
      <c r="E34" s="102">
        <v>4.3158</v>
      </c>
      <c r="F34" s="103">
        <v>21</v>
      </c>
      <c r="G34" s="103">
        <v>3</v>
      </c>
      <c r="H34" s="104">
        <f t="shared" si="0"/>
        <v>0</v>
      </c>
      <c r="I34" s="104">
        <f t="shared" si="1"/>
        <v>0</v>
      </c>
      <c r="J34" s="105">
        <f t="shared" si="2"/>
        <v>7</v>
      </c>
      <c r="K34" s="102">
        <f t="shared" si="6"/>
        <v>1.1666666666666667</v>
      </c>
      <c r="L34" s="102">
        <v>4</v>
      </c>
      <c r="M34" s="102">
        <f t="shared" si="3"/>
        <v>9.482466666666667</v>
      </c>
      <c r="N34" s="106">
        <f t="shared" si="7"/>
        <v>1.0948246666666668</v>
      </c>
      <c r="O34" s="102">
        <f t="shared" si="4"/>
        <v>1.07</v>
      </c>
      <c r="P34" s="125">
        <f t="shared" si="5"/>
        <v>1.1715</v>
      </c>
      <c r="Q34" s="126">
        <v>3.998</v>
      </c>
      <c r="R34" s="127">
        <v>1</v>
      </c>
      <c r="S34" s="128">
        <f t="shared" si="10"/>
        <v>0.5830416666666667</v>
      </c>
      <c r="T34" s="106">
        <f t="shared" si="11"/>
        <v>0.5833333333333333</v>
      </c>
      <c r="U34" s="128">
        <v>0.625</v>
      </c>
      <c r="V34" s="128">
        <f t="shared" si="12"/>
        <v>1.791375</v>
      </c>
      <c r="W34" s="128">
        <f t="shared" si="9"/>
        <v>1.1906</v>
      </c>
      <c r="X34" s="129">
        <f t="shared" si="8"/>
        <v>1.2098</v>
      </c>
      <c r="AC34" s="26" t="s">
        <v>54</v>
      </c>
      <c r="AD34" s="26">
        <v>2</v>
      </c>
    </row>
    <row r="35" spans="4:30" ht="20.25">
      <c r="D35" s="137">
        <v>180</v>
      </c>
      <c r="E35" s="102">
        <v>4.2434</v>
      </c>
      <c r="F35" s="103">
        <v>22</v>
      </c>
      <c r="G35" s="103">
        <v>3</v>
      </c>
      <c r="H35" s="104">
        <f t="shared" si="0"/>
        <v>0</v>
      </c>
      <c r="I35" s="104">
        <f t="shared" si="1"/>
        <v>0</v>
      </c>
      <c r="J35" s="105">
        <f t="shared" si="2"/>
        <v>7</v>
      </c>
      <c r="K35" s="102">
        <f t="shared" si="6"/>
        <v>1.1666666666666667</v>
      </c>
      <c r="L35" s="102">
        <v>4</v>
      </c>
      <c r="M35" s="102">
        <f t="shared" si="3"/>
        <v>9.410066666666667</v>
      </c>
      <c r="N35" s="106">
        <f t="shared" si="7"/>
        <v>1.0941006666666666</v>
      </c>
      <c r="O35" s="102">
        <f t="shared" si="4"/>
        <v>1.07</v>
      </c>
      <c r="P35" s="125">
        <f>ROUND(N35*O35,4)</f>
        <v>1.1707</v>
      </c>
      <c r="Q35" s="126">
        <v>3.91</v>
      </c>
      <c r="R35" s="127">
        <v>1</v>
      </c>
      <c r="S35" s="128">
        <f t="shared" si="10"/>
        <v>0.5973611111111111</v>
      </c>
      <c r="T35" s="106">
        <f t="shared" si="11"/>
        <v>0.5833333333333333</v>
      </c>
      <c r="U35" s="128">
        <v>0.625</v>
      </c>
      <c r="V35" s="128">
        <f t="shared" si="12"/>
        <v>1.8056944444444443</v>
      </c>
      <c r="W35" s="128">
        <f t="shared" si="9"/>
        <v>1.19</v>
      </c>
      <c r="X35" s="129">
        <f t="shared" si="8"/>
        <v>1.2093</v>
      </c>
      <c r="AC35" s="26" t="s">
        <v>55</v>
      </c>
      <c r="AD35" s="26">
        <v>2</v>
      </c>
    </row>
    <row r="36" spans="4:30" ht="20.25">
      <c r="D36" s="137">
        <v>190</v>
      </c>
      <c r="E36" s="102">
        <v>4.1775</v>
      </c>
      <c r="F36" s="103">
        <v>23</v>
      </c>
      <c r="G36" s="103">
        <v>3</v>
      </c>
      <c r="H36" s="104">
        <f t="shared" si="0"/>
        <v>0</v>
      </c>
      <c r="I36" s="104">
        <f t="shared" si="1"/>
        <v>0</v>
      </c>
      <c r="J36" s="105">
        <f t="shared" si="2"/>
        <v>7</v>
      </c>
      <c r="K36" s="102">
        <f t="shared" si="6"/>
        <v>1.1666666666666667</v>
      </c>
      <c r="L36" s="102">
        <v>3.5</v>
      </c>
      <c r="M36" s="102">
        <f t="shared" si="3"/>
        <v>8.844166666666666</v>
      </c>
      <c r="N36" s="106">
        <f t="shared" si="7"/>
        <v>1.0884416666666668</v>
      </c>
      <c r="O36" s="102">
        <f t="shared" si="4"/>
        <v>1.07</v>
      </c>
      <c r="P36" s="125">
        <f>ROUND(N36*O36,4)</f>
        <v>1.1646</v>
      </c>
      <c r="Q36" s="126">
        <v>3.838</v>
      </c>
      <c r="R36" s="127">
        <v>1</v>
      </c>
      <c r="S36" s="128">
        <f t="shared" si="10"/>
        <v>0.6130138888888889</v>
      </c>
      <c r="T36" s="106">
        <f t="shared" si="11"/>
        <v>0.5833333333333333</v>
      </c>
      <c r="U36" s="128">
        <v>0.625</v>
      </c>
      <c r="V36" s="128">
        <f t="shared" si="12"/>
        <v>1.8213472222222222</v>
      </c>
      <c r="W36" s="128">
        <f t="shared" si="9"/>
        <v>1.1841</v>
      </c>
      <c r="X36" s="129">
        <f t="shared" si="8"/>
        <v>1.2036</v>
      </c>
      <c r="AC36" s="26" t="s">
        <v>56</v>
      </c>
      <c r="AD36" s="26">
        <v>2</v>
      </c>
    </row>
    <row r="37" spans="4:30" ht="20.25">
      <c r="D37" s="137">
        <v>200</v>
      </c>
      <c r="E37" s="102">
        <v>4.1069</v>
      </c>
      <c r="F37" s="103">
        <v>23</v>
      </c>
      <c r="G37" s="103">
        <v>3</v>
      </c>
      <c r="H37" s="104">
        <f t="shared" si="0"/>
        <v>0</v>
      </c>
      <c r="I37" s="104">
        <f t="shared" si="1"/>
        <v>0</v>
      </c>
      <c r="J37" s="105">
        <f t="shared" si="2"/>
        <v>7</v>
      </c>
      <c r="K37" s="102">
        <f t="shared" si="6"/>
        <v>1.1666666666666667</v>
      </c>
      <c r="L37" s="102">
        <v>3.5</v>
      </c>
      <c r="M37" s="102">
        <f t="shared" si="3"/>
        <v>8.773566666666667</v>
      </c>
      <c r="N37" s="106">
        <f t="shared" si="7"/>
        <v>1.0877356666666667</v>
      </c>
      <c r="O37" s="102">
        <f t="shared" si="4"/>
        <v>1.07</v>
      </c>
      <c r="P37" s="125">
        <f>ROUND(N37*O37,4)</f>
        <v>1.1639</v>
      </c>
      <c r="Q37" s="126">
        <v>3.768</v>
      </c>
      <c r="R37" s="127">
        <v>1</v>
      </c>
      <c r="S37" s="128">
        <f t="shared" si="10"/>
        <v>0.6018333333333332</v>
      </c>
      <c r="T37" s="106">
        <f t="shared" si="11"/>
        <v>0.5833333333333333</v>
      </c>
      <c r="U37" s="128">
        <v>0.625</v>
      </c>
      <c r="V37" s="128">
        <f t="shared" si="12"/>
        <v>1.8101666666666665</v>
      </c>
      <c r="W37" s="128">
        <f t="shared" si="9"/>
        <v>1.1832</v>
      </c>
      <c r="X37" s="129">
        <f t="shared" si="8"/>
        <v>1.2026</v>
      </c>
      <c r="AC37" s="26" t="s">
        <v>63</v>
      </c>
      <c r="AD37" s="26">
        <v>3</v>
      </c>
    </row>
    <row r="38" spans="4:24" ht="20.25">
      <c r="D38" s="137">
        <v>210</v>
      </c>
      <c r="E38" s="102">
        <v>4.0412</v>
      </c>
      <c r="F38" s="103">
        <v>23</v>
      </c>
      <c r="G38" s="103">
        <v>3</v>
      </c>
      <c r="H38" s="104">
        <f t="shared" si="0"/>
        <v>0</v>
      </c>
      <c r="I38" s="104">
        <f t="shared" si="1"/>
        <v>0</v>
      </c>
      <c r="J38" s="105">
        <f t="shared" si="2"/>
        <v>7</v>
      </c>
      <c r="K38" s="102">
        <f t="shared" si="6"/>
        <v>1.1666666666666667</v>
      </c>
      <c r="L38" s="102">
        <v>3.5</v>
      </c>
      <c r="M38" s="102">
        <f t="shared" si="3"/>
        <v>8.707866666666668</v>
      </c>
      <c r="N38" s="106">
        <f t="shared" si="7"/>
        <v>1.0870786666666667</v>
      </c>
      <c r="O38" s="102">
        <f t="shared" si="4"/>
        <v>1.07</v>
      </c>
      <c r="P38" s="125">
        <f t="shared" si="5"/>
        <v>1.1632</v>
      </c>
      <c r="Q38" s="126">
        <v>3.702</v>
      </c>
      <c r="R38" s="127">
        <v>1</v>
      </c>
      <c r="S38" s="128">
        <f t="shared" si="10"/>
        <v>0.5912916666666667</v>
      </c>
      <c r="T38" s="106">
        <f t="shared" si="11"/>
        <v>0.5833333333333333</v>
      </c>
      <c r="U38" s="128">
        <v>0.625</v>
      </c>
      <c r="V38" s="128">
        <f t="shared" si="12"/>
        <v>1.7996249999999998</v>
      </c>
      <c r="W38" s="128">
        <f t="shared" si="9"/>
        <v>1.1824</v>
      </c>
      <c r="X38" s="129">
        <f t="shared" si="8"/>
        <v>1.2017</v>
      </c>
    </row>
    <row r="39" spans="4:24" ht="20.25">
      <c r="D39" s="137">
        <v>220</v>
      </c>
      <c r="E39" s="102">
        <v>3.9903</v>
      </c>
      <c r="F39" s="103">
        <v>24</v>
      </c>
      <c r="G39" s="103">
        <v>3</v>
      </c>
      <c r="H39" s="104">
        <f t="shared" si="0"/>
        <v>0</v>
      </c>
      <c r="I39" s="104">
        <f t="shared" si="1"/>
        <v>0</v>
      </c>
      <c r="J39" s="105">
        <f t="shared" si="2"/>
        <v>7</v>
      </c>
      <c r="K39" s="102">
        <f t="shared" si="6"/>
        <v>1.1666666666666667</v>
      </c>
      <c r="L39" s="102">
        <v>3.5</v>
      </c>
      <c r="M39" s="102">
        <f t="shared" si="3"/>
        <v>8.656966666666666</v>
      </c>
      <c r="N39" s="106">
        <f t="shared" si="7"/>
        <v>1.0865696666666667</v>
      </c>
      <c r="O39" s="102">
        <f t="shared" si="4"/>
        <v>1.07</v>
      </c>
      <c r="P39" s="125">
        <f t="shared" si="5"/>
        <v>1.1626</v>
      </c>
      <c r="Q39" s="126">
        <v>3.641</v>
      </c>
      <c r="R39" s="127">
        <v>1</v>
      </c>
      <c r="S39" s="128">
        <f t="shared" si="10"/>
        <v>0.6068333333333333</v>
      </c>
      <c r="T39" s="106">
        <f t="shared" si="11"/>
        <v>0.5833333333333333</v>
      </c>
      <c r="U39" s="128">
        <v>0.625</v>
      </c>
      <c r="V39" s="128">
        <f t="shared" si="12"/>
        <v>1.8151666666666666</v>
      </c>
      <c r="W39" s="128">
        <f t="shared" si="9"/>
        <v>1.1821</v>
      </c>
      <c r="X39" s="129">
        <f t="shared" si="8"/>
        <v>1.2015</v>
      </c>
    </row>
    <row r="40" spans="4:24" ht="20.25">
      <c r="D40" s="137">
        <v>230</v>
      </c>
      <c r="E40" s="102">
        <v>3.933</v>
      </c>
      <c r="F40" s="103">
        <v>24</v>
      </c>
      <c r="G40" s="103">
        <v>3</v>
      </c>
      <c r="H40" s="104">
        <f t="shared" si="0"/>
        <v>0</v>
      </c>
      <c r="I40" s="104">
        <f t="shared" si="1"/>
        <v>0</v>
      </c>
      <c r="J40" s="105">
        <f t="shared" si="2"/>
        <v>7</v>
      </c>
      <c r="K40" s="102">
        <f t="shared" si="6"/>
        <v>1.1666666666666667</v>
      </c>
      <c r="L40" s="102">
        <v>3.5</v>
      </c>
      <c r="M40" s="102">
        <f t="shared" si="3"/>
        <v>8.599666666666668</v>
      </c>
      <c r="N40" s="106">
        <f t="shared" si="7"/>
        <v>1.0859966666666667</v>
      </c>
      <c r="O40" s="102">
        <f t="shared" si="4"/>
        <v>1.07</v>
      </c>
      <c r="P40" s="125">
        <f t="shared" si="5"/>
        <v>1.162</v>
      </c>
      <c r="Q40" s="126">
        <v>3.582</v>
      </c>
      <c r="R40" s="127">
        <v>1</v>
      </c>
      <c r="S40" s="128">
        <f t="shared" si="10"/>
        <v>0.597</v>
      </c>
      <c r="T40" s="106">
        <f t="shared" si="11"/>
        <v>0.5833333333333333</v>
      </c>
      <c r="U40" s="128">
        <v>0.625</v>
      </c>
      <c r="V40" s="128">
        <f t="shared" si="12"/>
        <v>1.8053333333333332</v>
      </c>
      <c r="W40" s="128">
        <f t="shared" si="9"/>
        <v>1.1813</v>
      </c>
      <c r="X40" s="129">
        <f t="shared" si="8"/>
        <v>1.2007</v>
      </c>
    </row>
    <row r="41" spans="4:24" ht="20.25">
      <c r="D41" s="137">
        <v>240</v>
      </c>
      <c r="E41" s="102">
        <v>3.8897</v>
      </c>
      <c r="F41" s="103">
        <v>25</v>
      </c>
      <c r="G41" s="103">
        <v>3</v>
      </c>
      <c r="H41" s="104">
        <f t="shared" si="0"/>
        <v>0</v>
      </c>
      <c r="I41" s="104">
        <f t="shared" si="1"/>
        <v>0</v>
      </c>
      <c r="J41" s="105">
        <f t="shared" si="2"/>
        <v>7</v>
      </c>
      <c r="K41" s="102">
        <f t="shared" si="6"/>
        <v>1.1666666666666667</v>
      </c>
      <c r="L41" s="102">
        <v>3.5</v>
      </c>
      <c r="M41" s="102">
        <f t="shared" si="3"/>
        <v>8.556366666666666</v>
      </c>
      <c r="N41" s="106">
        <f t="shared" si="7"/>
        <v>1.0855636666666666</v>
      </c>
      <c r="O41" s="102">
        <f t="shared" si="4"/>
        <v>1.07</v>
      </c>
      <c r="P41" s="125">
        <f t="shared" si="5"/>
        <v>1.1616</v>
      </c>
      <c r="Q41" s="126">
        <v>3.53</v>
      </c>
      <c r="R41" s="127">
        <v>1</v>
      </c>
      <c r="S41" s="128">
        <f t="shared" si="10"/>
        <v>0.6128472222222222</v>
      </c>
      <c r="T41" s="106">
        <f t="shared" si="11"/>
        <v>0.5833333333333333</v>
      </c>
      <c r="U41" s="128">
        <v>0.625</v>
      </c>
      <c r="V41" s="128">
        <f t="shared" si="12"/>
        <v>1.8211805555555554</v>
      </c>
      <c r="W41" s="128">
        <f t="shared" si="9"/>
        <v>1.181</v>
      </c>
      <c r="X41" s="129">
        <f t="shared" si="8"/>
        <v>1.2005</v>
      </c>
    </row>
    <row r="42" spans="4:24" ht="20.25">
      <c r="D42" s="137">
        <v>250</v>
      </c>
      <c r="E42" s="102">
        <v>3.8391</v>
      </c>
      <c r="F42" s="103">
        <v>25</v>
      </c>
      <c r="G42" s="103">
        <v>3</v>
      </c>
      <c r="H42" s="104">
        <f t="shared" si="0"/>
        <v>0</v>
      </c>
      <c r="I42" s="104">
        <f t="shared" si="1"/>
        <v>0</v>
      </c>
      <c r="J42" s="105">
        <f t="shared" si="2"/>
        <v>7</v>
      </c>
      <c r="K42" s="102">
        <f t="shared" si="6"/>
        <v>1.1666666666666667</v>
      </c>
      <c r="L42" s="102">
        <v>3.5</v>
      </c>
      <c r="M42" s="102">
        <f t="shared" si="3"/>
        <v>8.505766666666666</v>
      </c>
      <c r="N42" s="106">
        <f t="shared" si="7"/>
        <v>1.0850576666666667</v>
      </c>
      <c r="O42" s="102">
        <f t="shared" si="4"/>
        <v>1.07</v>
      </c>
      <c r="P42" s="125">
        <f t="shared" si="5"/>
        <v>1.161</v>
      </c>
      <c r="Q42" s="139">
        <v>3.478</v>
      </c>
      <c r="R42" s="127">
        <v>1</v>
      </c>
      <c r="S42" s="128">
        <f t="shared" si="10"/>
        <v>0.6038194444444445</v>
      </c>
      <c r="T42" s="106">
        <f t="shared" si="11"/>
        <v>0.5833333333333333</v>
      </c>
      <c r="U42" s="128">
        <v>0.625</v>
      </c>
      <c r="V42" s="128">
        <f t="shared" si="12"/>
        <v>1.8121527777777777</v>
      </c>
      <c r="W42" s="128">
        <f t="shared" si="9"/>
        <v>1.1804</v>
      </c>
      <c r="X42" s="129">
        <f t="shared" si="8"/>
        <v>1.1998</v>
      </c>
    </row>
    <row r="43" spans="4:24" ht="20.25">
      <c r="D43" s="137">
        <v>260</v>
      </c>
      <c r="E43" s="102">
        <v>3.7913</v>
      </c>
      <c r="F43" s="103">
        <v>25</v>
      </c>
      <c r="G43" s="103">
        <v>3</v>
      </c>
      <c r="H43" s="104">
        <f t="shared" si="0"/>
        <v>0</v>
      </c>
      <c r="I43" s="104">
        <f t="shared" si="1"/>
        <v>0</v>
      </c>
      <c r="J43" s="105">
        <f t="shared" si="2"/>
        <v>7</v>
      </c>
      <c r="K43" s="102">
        <f t="shared" si="6"/>
        <v>1.1666666666666667</v>
      </c>
      <c r="L43" s="102">
        <v>3.5</v>
      </c>
      <c r="M43" s="102">
        <f t="shared" si="3"/>
        <v>8.457966666666668</v>
      </c>
      <c r="N43" s="106">
        <f t="shared" si="7"/>
        <v>1.0845796666666667</v>
      </c>
      <c r="O43" s="102">
        <f t="shared" si="4"/>
        <v>1.07</v>
      </c>
      <c r="P43" s="125">
        <f t="shared" si="5"/>
        <v>1.1605</v>
      </c>
      <c r="Q43" s="126">
        <v>3.431</v>
      </c>
      <c r="R43" s="127">
        <v>1</v>
      </c>
      <c r="S43" s="128">
        <f t="shared" si="10"/>
        <v>0.5956597222222222</v>
      </c>
      <c r="T43" s="106">
        <f t="shared" si="11"/>
        <v>0.5833333333333333</v>
      </c>
      <c r="U43" s="128">
        <v>0.625</v>
      </c>
      <c r="V43" s="128">
        <f t="shared" si="12"/>
        <v>1.8039930555555554</v>
      </c>
      <c r="W43" s="128">
        <f t="shared" si="9"/>
        <v>1.1798</v>
      </c>
      <c r="X43" s="129">
        <f t="shared" si="8"/>
        <v>1.1991</v>
      </c>
    </row>
    <row r="44" spans="4:25" ht="20.25">
      <c r="D44" s="137">
        <v>270</v>
      </c>
      <c r="E44" s="102">
        <v>3.7567</v>
      </c>
      <c r="F44" s="103">
        <v>26</v>
      </c>
      <c r="G44" s="103">
        <v>3</v>
      </c>
      <c r="H44" s="104">
        <f t="shared" si="0"/>
        <v>0</v>
      </c>
      <c r="I44" s="104">
        <f t="shared" si="1"/>
        <v>0</v>
      </c>
      <c r="J44" s="105">
        <f t="shared" si="2"/>
        <v>7</v>
      </c>
      <c r="K44" s="102">
        <f t="shared" si="6"/>
        <v>1.1666666666666667</v>
      </c>
      <c r="L44" s="102">
        <v>3.5</v>
      </c>
      <c r="M44" s="102">
        <f t="shared" si="3"/>
        <v>8.423366666666666</v>
      </c>
      <c r="N44" s="106">
        <f t="shared" si="7"/>
        <v>1.0842336666666668</v>
      </c>
      <c r="O44" s="102">
        <f t="shared" si="4"/>
        <v>1.07</v>
      </c>
      <c r="P44" s="125">
        <f t="shared" si="5"/>
        <v>1.1601</v>
      </c>
      <c r="Q44" s="126">
        <v>3.3858</v>
      </c>
      <c r="R44" s="127">
        <v>1</v>
      </c>
      <c r="S44" s="128">
        <f t="shared" si="10"/>
        <v>0.611325</v>
      </c>
      <c r="T44" s="106">
        <f t="shared" si="11"/>
        <v>0.5833333333333333</v>
      </c>
      <c r="U44" s="128">
        <v>0.625</v>
      </c>
      <c r="V44" s="128">
        <f t="shared" si="12"/>
        <v>1.8196583333333334</v>
      </c>
      <c r="W44" s="128">
        <f t="shared" si="9"/>
        <v>1.1796</v>
      </c>
      <c r="X44" s="129">
        <f t="shared" si="8"/>
        <v>1.1991</v>
      </c>
      <c r="Y44" s="45"/>
    </row>
    <row r="45" spans="4:24" ht="20.25">
      <c r="D45" s="137">
        <v>280</v>
      </c>
      <c r="E45" s="102">
        <v>3.7139</v>
      </c>
      <c r="F45" s="103">
        <v>26</v>
      </c>
      <c r="G45" s="103">
        <v>3</v>
      </c>
      <c r="H45" s="104">
        <f t="shared" si="0"/>
        <v>0</v>
      </c>
      <c r="I45" s="104">
        <f t="shared" si="1"/>
        <v>0</v>
      </c>
      <c r="J45" s="105">
        <f t="shared" si="2"/>
        <v>7</v>
      </c>
      <c r="K45" s="102">
        <f t="shared" si="6"/>
        <v>1.1666666666666667</v>
      </c>
      <c r="L45" s="102">
        <v>3.5</v>
      </c>
      <c r="M45" s="102">
        <f t="shared" si="3"/>
        <v>8.380566666666667</v>
      </c>
      <c r="N45" s="106">
        <f t="shared" si="7"/>
        <v>1.0838056666666667</v>
      </c>
      <c r="O45" s="102">
        <f t="shared" si="4"/>
        <v>1.07</v>
      </c>
      <c r="P45" s="125">
        <f t="shared" si="5"/>
        <v>1.1597</v>
      </c>
      <c r="Q45" s="126">
        <v>3.3434</v>
      </c>
      <c r="R45" s="127">
        <v>1</v>
      </c>
      <c r="S45" s="128">
        <f t="shared" si="10"/>
        <v>0.6036694444444444</v>
      </c>
      <c r="T45" s="106">
        <f t="shared" si="11"/>
        <v>0.5833333333333333</v>
      </c>
      <c r="U45" s="128">
        <v>0.625</v>
      </c>
      <c r="V45" s="128">
        <f t="shared" si="12"/>
        <v>1.8120027777777776</v>
      </c>
      <c r="W45" s="128">
        <f t="shared" si="9"/>
        <v>1.1791</v>
      </c>
      <c r="X45" s="129">
        <f t="shared" si="8"/>
        <v>1.1984</v>
      </c>
    </row>
    <row r="46" spans="4:24" ht="20.25">
      <c r="D46" s="137">
        <v>290</v>
      </c>
      <c r="E46" s="102">
        <v>3.6734</v>
      </c>
      <c r="F46" s="103">
        <v>26</v>
      </c>
      <c r="G46" s="103">
        <v>3</v>
      </c>
      <c r="H46" s="104">
        <f t="shared" si="0"/>
        <v>0</v>
      </c>
      <c r="I46" s="104">
        <f t="shared" si="1"/>
        <v>0</v>
      </c>
      <c r="J46" s="105">
        <f t="shared" si="2"/>
        <v>7</v>
      </c>
      <c r="K46" s="102">
        <f t="shared" si="6"/>
        <v>1.1666666666666667</v>
      </c>
      <c r="L46" s="102">
        <v>3.5</v>
      </c>
      <c r="M46" s="102">
        <f t="shared" si="3"/>
        <v>8.340066666666667</v>
      </c>
      <c r="N46" s="106">
        <f t="shared" si="7"/>
        <v>1.0834006666666667</v>
      </c>
      <c r="O46" s="102">
        <f t="shared" si="4"/>
        <v>1.07</v>
      </c>
      <c r="P46" s="125">
        <f t="shared" si="5"/>
        <v>1.1592</v>
      </c>
      <c r="Q46" s="126">
        <v>3.3024</v>
      </c>
      <c r="R46" s="127">
        <v>1</v>
      </c>
      <c r="S46" s="128">
        <f t="shared" si="10"/>
        <v>0.5962666666666666</v>
      </c>
      <c r="T46" s="106">
        <f t="shared" si="11"/>
        <v>0.5833333333333333</v>
      </c>
      <c r="U46" s="128">
        <v>0.625</v>
      </c>
      <c r="V46" s="128">
        <f t="shared" si="12"/>
        <v>1.8045999999999998</v>
      </c>
      <c r="W46" s="128">
        <f t="shared" si="9"/>
        <v>1.1785</v>
      </c>
      <c r="X46" s="129">
        <f t="shared" si="8"/>
        <v>1.1979</v>
      </c>
    </row>
    <row r="47" spans="4:24" ht="20.25">
      <c r="D47" s="137">
        <v>300</v>
      </c>
      <c r="E47" s="102">
        <v>3.6348</v>
      </c>
      <c r="F47" s="103">
        <v>26</v>
      </c>
      <c r="G47" s="103">
        <v>3</v>
      </c>
      <c r="H47" s="104">
        <f t="shared" si="0"/>
        <v>0</v>
      </c>
      <c r="I47" s="104">
        <f t="shared" si="1"/>
        <v>0</v>
      </c>
      <c r="J47" s="105">
        <f t="shared" si="2"/>
        <v>7</v>
      </c>
      <c r="K47" s="102">
        <f t="shared" si="6"/>
        <v>1.1666666666666667</v>
      </c>
      <c r="L47" s="102">
        <v>3.5</v>
      </c>
      <c r="M47" s="102">
        <f t="shared" si="3"/>
        <v>8.301466666666666</v>
      </c>
      <c r="N47" s="106">
        <f t="shared" si="7"/>
        <v>1.0830146666666667</v>
      </c>
      <c r="O47" s="102">
        <f t="shared" si="4"/>
        <v>1.07</v>
      </c>
      <c r="P47" s="125">
        <f t="shared" si="5"/>
        <v>1.1588</v>
      </c>
      <c r="Q47" s="126">
        <v>3.2646</v>
      </c>
      <c r="R47" s="127">
        <v>1</v>
      </c>
      <c r="S47" s="128">
        <f t="shared" si="10"/>
        <v>0.5894416666666668</v>
      </c>
      <c r="T47" s="106">
        <f t="shared" si="11"/>
        <v>0.5833333333333333</v>
      </c>
      <c r="U47" s="128">
        <v>0.625</v>
      </c>
      <c r="V47" s="128">
        <f t="shared" si="12"/>
        <v>1.7977750000000001</v>
      </c>
      <c r="W47" s="128">
        <f t="shared" si="9"/>
        <v>1.1781</v>
      </c>
      <c r="X47" s="129">
        <f t="shared" si="8"/>
        <v>1.1973</v>
      </c>
    </row>
    <row r="48" spans="4:24" ht="20.25">
      <c r="D48" s="137">
        <v>350</v>
      </c>
      <c r="E48" s="102">
        <v>3.4878</v>
      </c>
      <c r="F48" s="103">
        <v>28</v>
      </c>
      <c r="G48" s="103">
        <v>3</v>
      </c>
      <c r="H48" s="104">
        <f t="shared" si="0"/>
        <v>0</v>
      </c>
      <c r="I48" s="104">
        <f t="shared" si="1"/>
        <v>0</v>
      </c>
      <c r="J48" s="105">
        <f t="shared" si="2"/>
        <v>7</v>
      </c>
      <c r="K48" s="102">
        <f t="shared" si="6"/>
        <v>1.1666666666666667</v>
      </c>
      <c r="L48" s="102">
        <v>3.5</v>
      </c>
      <c r="M48" s="102">
        <f t="shared" si="3"/>
        <v>8.154466666666668</v>
      </c>
      <c r="N48" s="106">
        <f t="shared" si="7"/>
        <v>1.0815446666666666</v>
      </c>
      <c r="O48" s="102">
        <f t="shared" si="4"/>
        <v>1.07</v>
      </c>
      <c r="P48" s="125">
        <f t="shared" si="5"/>
        <v>1.1573</v>
      </c>
      <c r="Q48" s="126">
        <v>3.0945</v>
      </c>
      <c r="R48" s="127">
        <v>1</v>
      </c>
      <c r="S48" s="128">
        <f t="shared" si="10"/>
        <v>0.6017083333333333</v>
      </c>
      <c r="T48" s="106">
        <f t="shared" si="11"/>
        <v>0.5833333333333333</v>
      </c>
      <c r="U48" s="128">
        <v>0.625</v>
      </c>
      <c r="V48" s="128">
        <f t="shared" si="12"/>
        <v>1.8100416666666665</v>
      </c>
      <c r="W48" s="128">
        <f t="shared" si="9"/>
        <v>1.1766</v>
      </c>
      <c r="X48" s="129">
        <f t="shared" si="8"/>
        <v>1.196</v>
      </c>
    </row>
    <row r="49" spans="4:24" ht="20.25">
      <c r="D49" s="137">
        <v>400</v>
      </c>
      <c r="E49" s="102">
        <v>3.3621</v>
      </c>
      <c r="F49" s="103">
        <v>29</v>
      </c>
      <c r="G49" s="103">
        <v>3</v>
      </c>
      <c r="H49" s="104">
        <f t="shared" si="0"/>
        <v>0</v>
      </c>
      <c r="I49" s="104">
        <f t="shared" si="1"/>
        <v>0</v>
      </c>
      <c r="J49" s="105">
        <f t="shared" si="2"/>
        <v>7</v>
      </c>
      <c r="K49" s="102">
        <f t="shared" si="6"/>
        <v>1.1666666666666667</v>
      </c>
      <c r="L49" s="102">
        <v>3.5</v>
      </c>
      <c r="M49" s="102">
        <f t="shared" si="3"/>
        <v>8.028766666666666</v>
      </c>
      <c r="N49" s="106">
        <f t="shared" si="7"/>
        <v>1.0802876666666668</v>
      </c>
      <c r="O49" s="102">
        <f t="shared" si="4"/>
        <v>1.07</v>
      </c>
      <c r="P49" s="125">
        <f t="shared" si="5"/>
        <v>1.1559</v>
      </c>
      <c r="Q49" s="126">
        <v>2.959</v>
      </c>
      <c r="R49" s="127">
        <v>1</v>
      </c>
      <c r="S49" s="128">
        <f t="shared" si="10"/>
        <v>0.5959097222222222</v>
      </c>
      <c r="T49" s="106">
        <f t="shared" si="11"/>
        <v>0.5833333333333333</v>
      </c>
      <c r="U49" s="128">
        <v>0.625</v>
      </c>
      <c r="V49" s="128">
        <f t="shared" si="12"/>
        <v>1.8042430555555553</v>
      </c>
      <c r="W49" s="128">
        <f t="shared" si="9"/>
        <v>1.1752</v>
      </c>
      <c r="X49" s="129">
        <f t="shared" si="8"/>
        <v>1.1945</v>
      </c>
    </row>
    <row r="50" spans="4:24" ht="20.25">
      <c r="D50" s="137">
        <v>450</v>
      </c>
      <c r="E50" s="102">
        <v>3.2593</v>
      </c>
      <c r="F50" s="103">
        <v>30</v>
      </c>
      <c r="G50" s="103">
        <v>3</v>
      </c>
      <c r="H50" s="104">
        <f t="shared" si="0"/>
        <v>0</v>
      </c>
      <c r="I50" s="104">
        <f t="shared" si="1"/>
        <v>0</v>
      </c>
      <c r="J50" s="105">
        <f t="shared" si="2"/>
        <v>7</v>
      </c>
      <c r="K50" s="102">
        <f t="shared" si="6"/>
        <v>1.1666666666666667</v>
      </c>
      <c r="L50" s="102">
        <v>3.5</v>
      </c>
      <c r="M50" s="102">
        <f t="shared" si="3"/>
        <v>7.925966666666667</v>
      </c>
      <c r="N50" s="106">
        <f t="shared" si="7"/>
        <v>1.0792596666666667</v>
      </c>
      <c r="O50" s="102">
        <f t="shared" si="4"/>
        <v>1.07</v>
      </c>
      <c r="P50" s="125">
        <f t="shared" si="5"/>
        <v>1.1548</v>
      </c>
      <c r="Q50" s="126">
        <v>2.85</v>
      </c>
      <c r="R50" s="127">
        <v>1</v>
      </c>
      <c r="S50" s="128">
        <f t="shared" si="10"/>
        <v>0.59375</v>
      </c>
      <c r="T50" s="106">
        <f t="shared" si="11"/>
        <v>0.5833333333333333</v>
      </c>
      <c r="U50" s="128">
        <v>0.625</v>
      </c>
      <c r="V50" s="128">
        <f t="shared" si="12"/>
        <v>1.8020833333333333</v>
      </c>
      <c r="W50" s="128">
        <f t="shared" si="9"/>
        <v>1.1741</v>
      </c>
      <c r="X50" s="129">
        <f t="shared" si="8"/>
        <v>1.1934</v>
      </c>
    </row>
    <row r="51" spans="4:24" ht="20.25">
      <c r="D51" s="137">
        <v>500</v>
      </c>
      <c r="E51" s="102">
        <v>3.1735</v>
      </c>
      <c r="F51" s="103">
        <v>31</v>
      </c>
      <c r="G51" s="103">
        <v>3</v>
      </c>
      <c r="H51" s="104">
        <f t="shared" si="0"/>
        <v>0</v>
      </c>
      <c r="I51" s="104">
        <f t="shared" si="1"/>
        <v>0</v>
      </c>
      <c r="J51" s="105">
        <f t="shared" si="2"/>
        <v>7</v>
      </c>
      <c r="K51" s="102">
        <f t="shared" si="6"/>
        <v>1.1666666666666667</v>
      </c>
      <c r="L51" s="102">
        <v>3.5</v>
      </c>
      <c r="M51" s="102">
        <f t="shared" si="3"/>
        <v>7.840166666666667</v>
      </c>
      <c r="N51" s="106">
        <f t="shared" si="7"/>
        <v>1.0784016666666667</v>
      </c>
      <c r="O51" s="102">
        <f t="shared" si="4"/>
        <v>1.07</v>
      </c>
      <c r="P51" s="125">
        <f t="shared" si="5"/>
        <v>1.1539</v>
      </c>
      <c r="Q51" s="126">
        <v>2.75</v>
      </c>
      <c r="R51" s="127">
        <v>1</v>
      </c>
      <c r="S51" s="128">
        <f t="shared" si="10"/>
        <v>0.5920138888888888</v>
      </c>
      <c r="T51" s="106">
        <f t="shared" si="11"/>
        <v>0.5833333333333333</v>
      </c>
      <c r="U51" s="128">
        <v>0.625</v>
      </c>
      <c r="V51" s="128">
        <f t="shared" si="12"/>
        <v>1.800347222222222</v>
      </c>
      <c r="W51" s="128">
        <f t="shared" si="9"/>
        <v>1.1732</v>
      </c>
      <c r="X51" s="129">
        <f t="shared" si="8"/>
        <v>1.1924</v>
      </c>
    </row>
    <row r="52" spans="4:24" ht="20.25">
      <c r="D52" s="137">
        <v>600</v>
      </c>
      <c r="E52" s="102">
        <v>3.0385</v>
      </c>
      <c r="F52" s="103">
        <v>33</v>
      </c>
      <c r="G52" s="103">
        <v>3</v>
      </c>
      <c r="H52" s="104">
        <f t="shared" si="0"/>
        <v>0</v>
      </c>
      <c r="I52" s="104">
        <f t="shared" si="1"/>
        <v>0</v>
      </c>
      <c r="J52" s="105">
        <f t="shared" si="2"/>
        <v>7</v>
      </c>
      <c r="K52" s="102">
        <f t="shared" si="6"/>
        <v>1.1666666666666667</v>
      </c>
      <c r="L52" s="102">
        <v>3.5</v>
      </c>
      <c r="M52" s="102">
        <f t="shared" si="3"/>
        <v>7.705166666666667</v>
      </c>
      <c r="N52" s="106">
        <f t="shared" si="7"/>
        <v>1.0770516666666667</v>
      </c>
      <c r="O52" s="102">
        <f t="shared" si="4"/>
        <v>1.07</v>
      </c>
      <c r="P52" s="125">
        <f t="shared" si="5"/>
        <v>1.1524</v>
      </c>
      <c r="Q52" s="126">
        <v>2.593</v>
      </c>
      <c r="R52" s="127">
        <v>1</v>
      </c>
      <c r="S52" s="128">
        <f t="shared" si="10"/>
        <v>0.5942291666666667</v>
      </c>
      <c r="T52" s="106">
        <f t="shared" si="11"/>
        <v>0.5833333333333333</v>
      </c>
      <c r="U52" s="128">
        <v>0.625</v>
      </c>
      <c r="V52" s="128">
        <f t="shared" si="12"/>
        <v>1.8025625</v>
      </c>
      <c r="W52" s="128">
        <f t="shared" si="9"/>
        <v>1.1717</v>
      </c>
      <c r="X52" s="129">
        <f t="shared" si="8"/>
        <v>1.191</v>
      </c>
    </row>
    <row r="53" spans="4:24" ht="20.25">
      <c r="D53" s="137">
        <v>700</v>
      </c>
      <c r="E53" s="102">
        <v>2.9375</v>
      </c>
      <c r="F53" s="103">
        <v>35</v>
      </c>
      <c r="G53" s="103">
        <v>3</v>
      </c>
      <c r="H53" s="104">
        <f t="shared" si="0"/>
        <v>0</v>
      </c>
      <c r="I53" s="104">
        <f t="shared" si="1"/>
        <v>0</v>
      </c>
      <c r="J53" s="105">
        <f t="shared" si="2"/>
        <v>7</v>
      </c>
      <c r="K53" s="102">
        <f>(-1)*(J53/12)*((I53/100)+((F53+G53-1)*(H53/100))-(((H53+I53)/100)*((F53+1)/2))-(G53-1))</f>
        <v>1.1666666666666667</v>
      </c>
      <c r="L53" s="102">
        <v>3.5</v>
      </c>
      <c r="M53" s="102">
        <f>E53+K53+L53</f>
        <v>7.604166666666667</v>
      </c>
      <c r="N53" s="106">
        <f>1+(M53/100)</f>
        <v>1.0760416666666668</v>
      </c>
      <c r="O53" s="102">
        <f t="shared" si="4"/>
        <v>1.07</v>
      </c>
      <c r="P53" s="125">
        <f>ROUND(N53*O53,4)</f>
        <v>1.1514</v>
      </c>
      <c r="Q53" s="126">
        <v>-1.641</v>
      </c>
      <c r="R53" s="127">
        <v>1</v>
      </c>
      <c r="S53" s="128">
        <f>R53/12*Q53*F53/12</f>
        <v>-0.39885416666666657</v>
      </c>
      <c r="T53" s="106">
        <f>R53/12*J53</f>
        <v>0.5833333333333333</v>
      </c>
      <c r="U53" s="128">
        <v>1.625</v>
      </c>
      <c r="V53" s="128">
        <f>S53+T53+U53</f>
        <v>1.8094791666666667</v>
      </c>
      <c r="W53" s="128">
        <f>ROUND((N53+V53/100)*O53,4)</f>
        <v>1.1707</v>
      </c>
      <c r="X53" s="129">
        <f>ROUND((N53+2*(V53/100))*O53,4)</f>
        <v>1.1901</v>
      </c>
    </row>
    <row r="54" spans="4:24" ht="20.25">
      <c r="D54" s="137">
        <v>800</v>
      </c>
      <c r="E54" s="102">
        <v>2.8491</v>
      </c>
      <c r="F54" s="103">
        <v>36</v>
      </c>
      <c r="G54" s="103">
        <v>3</v>
      </c>
      <c r="H54" s="104">
        <f t="shared" si="0"/>
        <v>0</v>
      </c>
      <c r="I54" s="104">
        <f t="shared" si="1"/>
        <v>0</v>
      </c>
      <c r="J54" s="105">
        <f t="shared" si="2"/>
        <v>7</v>
      </c>
      <c r="K54" s="102">
        <f>(-1)*(J54/12)*((I54/100)+((F54+G54-1)*(H54/100))-(((H54+I54)/100)*((F54+1)/2))-(G54-1))</f>
        <v>1.1666666666666667</v>
      </c>
      <c r="L54" s="102">
        <v>3.5</v>
      </c>
      <c r="M54" s="102">
        <f>E54+K54+L54</f>
        <v>7.515766666666667</v>
      </c>
      <c r="N54" s="106">
        <f>1+(M54/100)</f>
        <v>1.0751576666666667</v>
      </c>
      <c r="O54" s="102">
        <f t="shared" si="4"/>
        <v>1.07</v>
      </c>
      <c r="P54" s="138">
        <f>ROUND(N54*O54,4)</f>
        <v>1.1504</v>
      </c>
      <c r="Q54" s="126">
        <v>-5.625</v>
      </c>
      <c r="R54" s="127">
        <v>1</v>
      </c>
      <c r="S54" s="128">
        <f>R54/12*Q54*F54/12</f>
        <v>-1.40625</v>
      </c>
      <c r="T54" s="106">
        <f>R54/12*J54</f>
        <v>0.5833333333333333</v>
      </c>
      <c r="U54" s="128">
        <v>2.625</v>
      </c>
      <c r="V54" s="128">
        <f>S54+T54+U54</f>
        <v>1.8020833333333333</v>
      </c>
      <c r="W54" s="128">
        <f>ROUND((N54+V54/100)*O54,4)</f>
        <v>1.1697</v>
      </c>
      <c r="X54" s="129">
        <f>ROUND((N54+2*(V54/100))*O54,4)</f>
        <v>1.189</v>
      </c>
    </row>
    <row r="55" spans="4:24" ht="20.25">
      <c r="D55" s="137">
        <v>900</v>
      </c>
      <c r="E55" s="102">
        <v>2.7877</v>
      </c>
      <c r="F55" s="103">
        <v>38</v>
      </c>
      <c r="G55" s="103">
        <v>3</v>
      </c>
      <c r="H55" s="104">
        <f t="shared" si="0"/>
        <v>0</v>
      </c>
      <c r="I55" s="104">
        <f t="shared" si="1"/>
        <v>0</v>
      </c>
      <c r="J55" s="105">
        <f t="shared" si="2"/>
        <v>7</v>
      </c>
      <c r="K55" s="102">
        <f>(-1)*(J55/12)*((I55/100)+((F55+G55-1)*(H55/100))-(((H55+I55)/100)*((F55+1)/2))-(G55-1))</f>
        <v>1.1666666666666667</v>
      </c>
      <c r="L55" s="102">
        <v>3.5</v>
      </c>
      <c r="M55" s="102">
        <f>E55+K55+L55</f>
        <v>7.454366666666667</v>
      </c>
      <c r="N55" s="106">
        <f>1+(M55/100)</f>
        <v>1.0745436666666666</v>
      </c>
      <c r="O55" s="102">
        <f t="shared" si="4"/>
        <v>1.07</v>
      </c>
      <c r="P55" s="125">
        <f>ROUND(N55*O55,4)</f>
        <v>1.1498</v>
      </c>
      <c r="Q55" s="126">
        <v>-9.076</v>
      </c>
      <c r="R55" s="127">
        <v>1</v>
      </c>
      <c r="S55" s="128">
        <f>R55/12*Q55*F55/12</f>
        <v>-2.3950555555555555</v>
      </c>
      <c r="T55" s="106">
        <f>R55/12*J55</f>
        <v>0.5833333333333333</v>
      </c>
      <c r="U55" s="128">
        <v>3.625</v>
      </c>
      <c r="V55" s="128">
        <f>S55+T55+U55</f>
        <v>1.8132777777777778</v>
      </c>
      <c r="W55" s="128">
        <f>ROUND((N55+V55/100)*O55,4)</f>
        <v>1.1692</v>
      </c>
      <c r="X55" s="129">
        <f>ROUND((N55+2*(V55/100))*O55,4)</f>
        <v>1.1886</v>
      </c>
    </row>
    <row r="56" spans="4:24" ht="20.25">
      <c r="D56" s="140">
        <v>1000</v>
      </c>
      <c r="E56" s="102">
        <v>2.7387</v>
      </c>
      <c r="F56" s="103">
        <v>40</v>
      </c>
      <c r="G56" s="103">
        <v>3</v>
      </c>
      <c r="H56" s="104">
        <f t="shared" si="0"/>
        <v>0</v>
      </c>
      <c r="I56" s="104">
        <f t="shared" si="1"/>
        <v>0</v>
      </c>
      <c r="J56" s="105">
        <f t="shared" si="2"/>
        <v>7</v>
      </c>
      <c r="K56" s="102">
        <f>(-1)*(J56/12)*((I56/100)+((F56+G56-1)*(H56/100))-(((H56+I56)/100)*((F56+1)/2))-(G56-1))</f>
        <v>1.1666666666666667</v>
      </c>
      <c r="L56" s="102">
        <v>3.5</v>
      </c>
      <c r="M56" s="102">
        <f>E56+K56+L56</f>
        <v>7.405366666666667</v>
      </c>
      <c r="N56" s="106">
        <f>1+(M56/100)</f>
        <v>1.0740536666666667</v>
      </c>
      <c r="O56" s="102">
        <f t="shared" si="4"/>
        <v>1.07</v>
      </c>
      <c r="P56" s="125">
        <f>ROUND(N56*O56,4)</f>
        <v>1.1492</v>
      </c>
      <c r="Q56" s="126">
        <v>-12.178</v>
      </c>
      <c r="R56" s="127">
        <v>1</v>
      </c>
      <c r="S56" s="128">
        <f>R56/12*Q56*F56/12</f>
        <v>-3.3827777777777777</v>
      </c>
      <c r="T56" s="106">
        <f>R56/12*J56</f>
        <v>0.5833333333333333</v>
      </c>
      <c r="U56" s="128">
        <v>4.625</v>
      </c>
      <c r="V56" s="128">
        <f>S56+T56+U56</f>
        <v>1.8255555555555558</v>
      </c>
      <c r="W56" s="128">
        <f>ROUND((N56+V56/100)*O56,4)</f>
        <v>1.1688</v>
      </c>
      <c r="X56" s="129">
        <f>ROUND((N56+2*(V56/100))*O56,4)</f>
        <v>1.1883</v>
      </c>
    </row>
    <row r="57" spans="4:24" ht="21" thickBot="1">
      <c r="D57" s="141" t="s">
        <v>100</v>
      </c>
      <c r="E57" s="109">
        <v>2.7387</v>
      </c>
      <c r="F57" s="110">
        <v>40</v>
      </c>
      <c r="G57" s="110">
        <v>3</v>
      </c>
      <c r="H57" s="111">
        <f t="shared" si="0"/>
        <v>0</v>
      </c>
      <c r="I57" s="111">
        <f t="shared" si="1"/>
        <v>0</v>
      </c>
      <c r="J57" s="112">
        <f t="shared" si="2"/>
        <v>7</v>
      </c>
      <c r="K57" s="109">
        <f>(-1)*(J57/12)*((I57/100)+((F57+G57-1)*(H57/100))-(((H57+I57)/100)*((F57+1)/2))-(G57-1))</f>
        <v>1.1666666666666667</v>
      </c>
      <c r="L57" s="109">
        <v>3.5</v>
      </c>
      <c r="M57" s="109">
        <f>E57+K57+L57</f>
        <v>7.405366666666667</v>
      </c>
      <c r="N57" s="113">
        <f>1+(M57/100)</f>
        <v>1.0740536666666667</v>
      </c>
      <c r="O57" s="109">
        <f t="shared" si="4"/>
        <v>1.07</v>
      </c>
      <c r="P57" s="130">
        <f>ROUND(N57*O57,4)</f>
        <v>1.1492</v>
      </c>
      <c r="Q57" s="131">
        <v>-15.778</v>
      </c>
      <c r="R57" s="132">
        <v>1</v>
      </c>
      <c r="S57" s="133">
        <f>R57/12*Q57*F57/12</f>
        <v>-4.382777777777778</v>
      </c>
      <c r="T57" s="113">
        <f>R57/12*J57</f>
        <v>0.5833333333333333</v>
      </c>
      <c r="U57" s="133">
        <v>5.625</v>
      </c>
      <c r="V57" s="133">
        <f>S57+T57+U57</f>
        <v>1.825555555555555</v>
      </c>
      <c r="W57" s="133">
        <f>ROUND((N57+V57/100)*O57,4)</f>
        <v>1.1688</v>
      </c>
      <c r="X57" s="134">
        <f>ROUND((N57+2*(V57/100))*O57,4)</f>
        <v>1.1883</v>
      </c>
    </row>
    <row r="58" spans="4:24" ht="20.25">
      <c r="D58" s="26" t="s">
        <v>146</v>
      </c>
      <c r="E58" s="27" t="s">
        <v>147</v>
      </c>
      <c r="F58" s="26"/>
      <c r="G58" s="26"/>
      <c r="H58" s="26"/>
      <c r="I58" s="26"/>
      <c r="J58" s="26"/>
      <c r="K58" s="27"/>
      <c r="L58" s="27"/>
      <c r="M58" s="27"/>
      <c r="N58" s="26"/>
      <c r="O58" s="26"/>
      <c r="P58" s="26"/>
      <c r="Q58" s="27"/>
      <c r="R58" s="27"/>
      <c r="S58" s="26"/>
      <c r="T58" s="26"/>
      <c r="U58" s="26"/>
      <c r="V58" s="26"/>
      <c r="W58" s="26"/>
      <c r="X58" s="26"/>
    </row>
    <row r="59" spans="4:24" ht="21">
      <c r="D59" s="26"/>
      <c r="E59" s="27" t="s">
        <v>148</v>
      </c>
      <c r="F59" s="26"/>
      <c r="G59" s="26"/>
      <c r="H59" s="26"/>
      <c r="I59" s="26"/>
      <c r="J59" s="26"/>
      <c r="K59" s="27"/>
      <c r="L59" s="27"/>
      <c r="M59" s="27"/>
      <c r="N59" s="26"/>
      <c r="O59" s="26"/>
      <c r="P59" s="26"/>
      <c r="Q59" s="27"/>
      <c r="R59" s="27"/>
      <c r="S59" s="26"/>
      <c r="T59" s="26"/>
      <c r="U59" s="26"/>
      <c r="V59" s="26"/>
      <c r="W59" s="26"/>
      <c r="X59" s="26"/>
    </row>
  </sheetData>
  <sheetProtection password="87BD" sheet="1" objects="1" scenarios="1" selectLockedCells="1"/>
  <mergeCells count="20">
    <mergeCell ref="T14:T15"/>
    <mergeCell ref="U14:U15"/>
    <mergeCell ref="W14:W15"/>
    <mergeCell ref="X14:X15"/>
    <mergeCell ref="D8:P8"/>
    <mergeCell ref="D9:X9"/>
    <mergeCell ref="D14:D15"/>
    <mergeCell ref="E14:M14"/>
    <mergeCell ref="N14:N15"/>
    <mergeCell ref="O14:O15"/>
    <mergeCell ref="P14:P15"/>
    <mergeCell ref="Q14:Q15"/>
    <mergeCell ref="R14:R15"/>
    <mergeCell ref="S14:S15"/>
    <mergeCell ref="K2:X2"/>
    <mergeCell ref="M4:N4"/>
    <mergeCell ref="P4:W4"/>
    <mergeCell ref="M5:N5"/>
    <mergeCell ref="D6:E6"/>
    <mergeCell ref="M6:N6"/>
  </mergeCells>
  <dataValidations count="6">
    <dataValidation type="list" allowBlank="1" showInputMessage="1" showErrorMessage="1" sqref="O12">
      <formula1>$AB$22:$AB$23</formula1>
    </dataValidation>
    <dataValidation type="list" allowBlank="1" showInputMessage="1" showErrorMessage="1" sqref="K12">
      <formula1>$Z$22:$Z$24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sqref="M4">
      <formula1>0</formula1>
    </dataValidation>
    <dataValidation type="list" allowBlank="1" showInputMessage="1" showErrorMessage="1" sqref="K11">
      <formula1>$Z$22:$Z$25</formula1>
    </dataValidation>
    <dataValidation type="list" allowBlank="1" showInputMessage="1" showErrorMessage="1" sqref="O11">
      <formula1>$AA$23:$AA$25</formula1>
    </dataValidation>
    <dataValidation type="list" allowBlank="1" showInputMessage="1" showErrorMessage="1" promptTitle="พื้นที่ฝนชุก" prompt="เลือกจังหวัดที่ตั้งโครงการ ตามรายชื่อจังหวัดพื้นที่ฝนชุก  หากไม่มีในรายชื่อด้านล่าง ให้เลือกอื่นๆ ซึ่งหมายถึง พื้นที่ปกติ ไม่ใช่พื้นที่ฝนชุก&#10;" sqref="W5">
      <formula1>$AC$17:$AC$36</formula1>
    </dataValidation>
  </dataValidations>
  <hyperlinks>
    <hyperlink ref="D6" r:id="rId1" display="www.yotathai.net"/>
  </hyperlinks>
  <printOptions horizontalCentered="1" verticalCentered="1"/>
  <pageMargins left="0.5905511811023623" right="0.2755905511811024" top="0.2755905511811024" bottom="0.4330708661417323" header="0.2362204724409449" footer="0.2755905511811024"/>
  <pageSetup blackAndWhite="1" horizontalDpi="300" verticalDpi="300" orientation="portrait" paperSize="9" scale="80" r:id="rId3"/>
  <headerFooter>
    <oddFooter>&amp;Rwww.yotathai.net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7030A0"/>
  </sheetPr>
  <dimension ref="D1:V59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" customWidth="1"/>
    <col min="3" max="3" width="3.7109375" style="3" customWidth="1"/>
    <col min="4" max="4" width="10.28125" style="3" customWidth="1"/>
    <col min="5" max="5" width="10.28125" style="6" customWidth="1"/>
    <col min="6" max="10" width="10.8515625" style="3" hidden="1" customWidth="1"/>
    <col min="11" max="13" width="12.7109375" style="6" customWidth="1"/>
    <col min="14" max="16" width="12.7109375" style="3" customWidth="1"/>
    <col min="17" max="17" width="4.28125" style="3" customWidth="1"/>
    <col min="18" max="18" width="9.140625" style="53" hidden="1" customWidth="1"/>
    <col min="19" max="19" width="13.57421875" style="53" hidden="1" customWidth="1"/>
    <col min="20" max="20" width="14.140625" style="54" hidden="1" customWidth="1"/>
    <col min="21" max="21" width="11.421875" style="53" hidden="1" customWidth="1"/>
    <col min="22" max="22" width="9.140625" style="53" hidden="1" customWidth="1"/>
    <col min="23" max="16384" width="9.140625" style="3" customWidth="1"/>
  </cols>
  <sheetData>
    <row r="1" ht="16.5" customHeight="1" thickBot="1">
      <c r="P1" s="64" t="str">
        <f>F_อาคาร!P1</f>
        <v>Factor F_2555</v>
      </c>
    </row>
    <row r="2" spans="4:16" ht="23.25">
      <c r="D2" s="9"/>
      <c r="E2" s="9"/>
      <c r="F2" s="10"/>
      <c r="G2" s="10"/>
      <c r="H2" s="10"/>
      <c r="I2" s="10"/>
      <c r="J2" s="10"/>
      <c r="K2" s="171" t="s">
        <v>68</v>
      </c>
      <c r="L2" s="171"/>
      <c r="M2" s="171"/>
      <c r="N2" s="171"/>
      <c r="O2" s="171"/>
      <c r="P2" s="171"/>
    </row>
    <row r="3" spans="4:16" ht="8.25" customHeight="1"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4:21" ht="20.25">
      <c r="D4" s="1"/>
      <c r="E4" s="2"/>
      <c r="F4" s="7"/>
      <c r="G4" s="7"/>
      <c r="H4" s="7"/>
      <c r="I4" s="7"/>
      <c r="J4" s="7"/>
      <c r="K4" s="72"/>
      <c r="L4" s="184" t="s">
        <v>4</v>
      </c>
      <c r="M4" s="184"/>
      <c r="N4" s="182">
        <v>20000000</v>
      </c>
      <c r="O4" s="182"/>
      <c r="P4" s="150" t="s">
        <v>5</v>
      </c>
      <c r="S4" s="55"/>
      <c r="T4" s="56"/>
      <c r="U4" s="55"/>
    </row>
    <row r="5" spans="4:21" ht="20.25">
      <c r="D5" s="1"/>
      <c r="E5" s="116"/>
      <c r="F5" s="15"/>
      <c r="G5" s="15"/>
      <c r="H5" s="15"/>
      <c r="I5" s="15"/>
      <c r="J5" s="15"/>
      <c r="K5" s="15"/>
      <c r="L5" s="184" t="s">
        <v>13</v>
      </c>
      <c r="M5" s="184"/>
      <c r="N5" s="193">
        <f>IF(N4=0,0,IF(N4&lt;=5000000,P16,IF(N4&gt;=200000000,P57,U19)))</f>
        <v>1.222</v>
      </c>
      <c r="O5" s="193"/>
      <c r="P5" s="150"/>
      <c r="S5" s="55"/>
      <c r="T5" s="56"/>
      <c r="U5" s="55"/>
    </row>
    <row r="6" spans="4:16" ht="21" customHeight="1">
      <c r="D6" s="204" t="s">
        <v>29</v>
      </c>
      <c r="E6" s="204"/>
      <c r="F6" s="8"/>
      <c r="G6" s="8"/>
      <c r="H6" s="8"/>
      <c r="I6" s="8"/>
      <c r="J6" s="8"/>
      <c r="K6" s="8"/>
      <c r="L6" s="72" t="s">
        <v>28</v>
      </c>
      <c r="M6" s="72"/>
      <c r="N6" s="179">
        <f>ROUND((N5*N4),2)</f>
        <v>24440000</v>
      </c>
      <c r="O6" s="179"/>
      <c r="P6" s="150" t="s">
        <v>5</v>
      </c>
    </row>
    <row r="7" spans="4:16" ht="9" customHeight="1" thickBot="1">
      <c r="D7" s="1"/>
      <c r="E7" s="2"/>
      <c r="F7" s="12"/>
      <c r="G7" s="12"/>
      <c r="H7" s="12"/>
      <c r="I7" s="12"/>
      <c r="J7" s="12"/>
      <c r="K7" s="72"/>
      <c r="L7" s="72"/>
      <c r="M7" s="72"/>
      <c r="N7" s="115"/>
      <c r="O7" s="115"/>
      <c r="P7" s="7"/>
    </row>
    <row r="8" spans="4:16" ht="9.75" customHeight="1" hidden="1" thickBot="1">
      <c r="D8" s="180"/>
      <c r="E8" s="180"/>
      <c r="F8" s="181"/>
      <c r="G8" s="181"/>
      <c r="H8" s="181"/>
      <c r="I8" s="181"/>
      <c r="J8" s="181"/>
      <c r="K8" s="180"/>
      <c r="L8" s="180"/>
      <c r="M8" s="180"/>
      <c r="N8" s="180"/>
      <c r="O8" s="180"/>
      <c r="P8" s="180"/>
    </row>
    <row r="9" spans="4:22" s="4" customFormat="1" ht="22.5" customHeight="1">
      <c r="D9" s="171" t="s">
        <v>120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R9" s="57"/>
      <c r="S9" s="36"/>
      <c r="T9" s="36"/>
      <c r="U9" s="36"/>
      <c r="V9" s="57"/>
    </row>
    <row r="10" spans="4:17" ht="4.5" customHeight="1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4:16" ht="20.25">
      <c r="D11" s="1" t="s">
        <v>26</v>
      </c>
      <c r="E11" s="2"/>
      <c r="F11" s="1"/>
      <c r="G11" s="1"/>
      <c r="H11" s="1"/>
      <c r="I11" s="1"/>
      <c r="J11" s="1"/>
      <c r="K11" s="85">
        <v>0</v>
      </c>
      <c r="L11" s="2" t="s">
        <v>2</v>
      </c>
      <c r="M11" s="2" t="s">
        <v>0</v>
      </c>
      <c r="N11" s="1"/>
      <c r="O11" s="87">
        <v>7</v>
      </c>
      <c r="P11" s="1" t="s">
        <v>2</v>
      </c>
    </row>
    <row r="12" spans="4:21" ht="20.25">
      <c r="D12" s="1" t="s">
        <v>27</v>
      </c>
      <c r="E12" s="2"/>
      <c r="F12" s="1"/>
      <c r="G12" s="1"/>
      <c r="H12" s="1"/>
      <c r="I12" s="1"/>
      <c r="J12" s="1"/>
      <c r="K12" s="84">
        <v>0</v>
      </c>
      <c r="L12" s="2" t="s">
        <v>2</v>
      </c>
      <c r="M12" s="2" t="s">
        <v>3</v>
      </c>
      <c r="N12" s="1"/>
      <c r="O12" s="86">
        <v>7</v>
      </c>
      <c r="P12" s="1" t="s">
        <v>2</v>
      </c>
      <c r="U12" s="53">
        <f>IF(T14=T15,0,1)</f>
        <v>0</v>
      </c>
    </row>
    <row r="13" spans="4:16" ht="4.5" customHeight="1" thickBot="1">
      <c r="D13" s="14"/>
      <c r="E13" s="13"/>
      <c r="F13" s="14"/>
      <c r="G13" s="14"/>
      <c r="H13" s="14"/>
      <c r="I13" s="14"/>
      <c r="J13" s="14"/>
      <c r="K13" s="13"/>
      <c r="L13" s="13"/>
      <c r="M13" s="13"/>
      <c r="N13" s="14"/>
      <c r="O13" s="13"/>
      <c r="P13" s="14"/>
    </row>
    <row r="14" spans="4:21" ht="21">
      <c r="D14" s="172" t="s">
        <v>67</v>
      </c>
      <c r="E14" s="174" t="s">
        <v>30</v>
      </c>
      <c r="F14" s="175"/>
      <c r="G14" s="175"/>
      <c r="H14" s="175"/>
      <c r="I14" s="175"/>
      <c r="J14" s="175"/>
      <c r="K14" s="175"/>
      <c r="L14" s="175"/>
      <c r="M14" s="175"/>
      <c r="N14" s="174" t="s">
        <v>14</v>
      </c>
      <c r="O14" s="174" t="s">
        <v>15</v>
      </c>
      <c r="P14" s="177" t="s">
        <v>1</v>
      </c>
      <c r="S14" s="55" t="s">
        <v>6</v>
      </c>
      <c r="T14" s="58">
        <f>N4/1000000</f>
        <v>20</v>
      </c>
      <c r="U14" s="55"/>
    </row>
    <row r="15" spans="4:21" ht="42" customHeight="1" thickBot="1">
      <c r="D15" s="201"/>
      <c r="E15" s="143" t="s">
        <v>16</v>
      </c>
      <c r="F15" s="144" t="s">
        <v>17</v>
      </c>
      <c r="G15" s="144" t="s">
        <v>18</v>
      </c>
      <c r="H15" s="144" t="s">
        <v>19</v>
      </c>
      <c r="I15" s="144" t="s">
        <v>20</v>
      </c>
      <c r="J15" s="144" t="s">
        <v>21</v>
      </c>
      <c r="K15" s="143" t="s">
        <v>22</v>
      </c>
      <c r="L15" s="143" t="s">
        <v>23</v>
      </c>
      <c r="M15" s="143" t="s">
        <v>24</v>
      </c>
      <c r="N15" s="202"/>
      <c r="O15" s="202"/>
      <c r="P15" s="203"/>
      <c r="S15" s="55" t="s">
        <v>7</v>
      </c>
      <c r="T15" s="56">
        <f>VLOOKUP(T14,D17:D56,1)</f>
        <v>20</v>
      </c>
      <c r="U15" s="55">
        <f>VLOOKUP(T15,$D$17:$P$56,13,FALSE)</f>
        <v>1.222</v>
      </c>
    </row>
    <row r="16" spans="4:21" ht="18" customHeight="1">
      <c r="D16" s="94" t="s">
        <v>152</v>
      </c>
      <c r="E16" s="95">
        <v>10.2393</v>
      </c>
      <c r="F16" s="96">
        <v>6</v>
      </c>
      <c r="G16" s="96">
        <v>3</v>
      </c>
      <c r="H16" s="97">
        <f aca="true" t="shared" si="0" ref="H16:H57">$K$11</f>
        <v>0</v>
      </c>
      <c r="I16" s="97">
        <f aca="true" t="shared" si="1" ref="I16:I57">$K$12</f>
        <v>0</v>
      </c>
      <c r="J16" s="98">
        <f aca="true" t="shared" si="2" ref="J16:J57">$O$11</f>
        <v>7</v>
      </c>
      <c r="K16" s="95">
        <f aca="true" t="shared" si="3" ref="K16:K57">(-1)*(J16/12)*((I16/100)+((F16+G16-1)*(H16/100))-(((H16+I16)/100)*((F16+1)/2))-(G16-1))</f>
        <v>1.1666666666666667</v>
      </c>
      <c r="L16" s="95">
        <v>5.5</v>
      </c>
      <c r="M16" s="95">
        <f aca="true" t="shared" si="4" ref="M16:M39">E16+K16+L16</f>
        <v>16.905966666666664</v>
      </c>
      <c r="N16" s="99">
        <f aca="true" t="shared" si="5" ref="N16:N57">1+(M16/100)</f>
        <v>1.1690596666666666</v>
      </c>
      <c r="O16" s="95">
        <f aca="true" t="shared" si="6" ref="O16:O57">1+($O$12/100)</f>
        <v>1.07</v>
      </c>
      <c r="P16" s="100">
        <f aca="true" t="shared" si="7" ref="P16:P39">ROUND(N16*O16,4)</f>
        <v>1.2509</v>
      </c>
      <c r="S16" s="55" t="s">
        <v>9</v>
      </c>
      <c r="T16" s="59">
        <f>MATCH(T15,D17:D56)</f>
        <v>4</v>
      </c>
      <c r="U16" s="55"/>
    </row>
    <row r="17" spans="4:21" ht="18" customHeight="1" hidden="1">
      <c r="D17" s="101">
        <v>5</v>
      </c>
      <c r="E17" s="102">
        <v>10.2393</v>
      </c>
      <c r="F17" s="103">
        <v>6</v>
      </c>
      <c r="G17" s="103">
        <v>3</v>
      </c>
      <c r="H17" s="104">
        <f t="shared" si="0"/>
        <v>0</v>
      </c>
      <c r="I17" s="104">
        <f t="shared" si="1"/>
        <v>0</v>
      </c>
      <c r="J17" s="105">
        <f t="shared" si="2"/>
        <v>7</v>
      </c>
      <c r="K17" s="102">
        <f t="shared" si="3"/>
        <v>1.1666666666666667</v>
      </c>
      <c r="L17" s="102">
        <v>5.5</v>
      </c>
      <c r="M17" s="102">
        <f t="shared" si="4"/>
        <v>16.905966666666664</v>
      </c>
      <c r="N17" s="106">
        <f t="shared" si="5"/>
        <v>1.1690596666666666</v>
      </c>
      <c r="O17" s="102">
        <f t="shared" si="6"/>
        <v>1.07</v>
      </c>
      <c r="P17" s="107">
        <f t="shared" si="7"/>
        <v>1.2509</v>
      </c>
      <c r="S17" s="60" t="s">
        <v>10</v>
      </c>
      <c r="T17" s="59">
        <f>T16+1</f>
        <v>5</v>
      </c>
      <c r="U17" s="60"/>
    </row>
    <row r="18" spans="4:21" ht="18" customHeight="1">
      <c r="D18" s="101">
        <v>10</v>
      </c>
      <c r="E18" s="102">
        <v>7.9534</v>
      </c>
      <c r="F18" s="103">
        <v>9</v>
      </c>
      <c r="G18" s="103">
        <v>3</v>
      </c>
      <c r="H18" s="104">
        <f t="shared" si="0"/>
        <v>0</v>
      </c>
      <c r="I18" s="104">
        <f t="shared" si="1"/>
        <v>0</v>
      </c>
      <c r="J18" s="105">
        <f t="shared" si="2"/>
        <v>7</v>
      </c>
      <c r="K18" s="102">
        <f t="shared" si="3"/>
        <v>1.1666666666666667</v>
      </c>
      <c r="L18" s="102">
        <v>5.5</v>
      </c>
      <c r="M18" s="102">
        <f t="shared" si="4"/>
        <v>14.620066666666666</v>
      </c>
      <c r="N18" s="106">
        <f t="shared" si="5"/>
        <v>1.1462006666666666</v>
      </c>
      <c r="O18" s="102">
        <f t="shared" si="6"/>
        <v>1.07</v>
      </c>
      <c r="P18" s="107">
        <f t="shared" si="7"/>
        <v>1.2264</v>
      </c>
      <c r="S18" s="55" t="s">
        <v>8</v>
      </c>
      <c r="T18" s="59">
        <f>INDEX(D17:D56,T17)</f>
        <v>25</v>
      </c>
      <c r="U18" s="55">
        <f>VLOOKUP(T18,$D$17:$P$56,13,FALSE)</f>
        <v>1.2093</v>
      </c>
    </row>
    <row r="19" spans="4:21" ht="18" customHeight="1">
      <c r="D19" s="101">
        <v>15</v>
      </c>
      <c r="E19" s="102">
        <v>7.8042</v>
      </c>
      <c r="F19" s="103">
        <v>12</v>
      </c>
      <c r="G19" s="103">
        <v>3</v>
      </c>
      <c r="H19" s="104">
        <f t="shared" si="0"/>
        <v>0</v>
      </c>
      <c r="I19" s="104">
        <f t="shared" si="1"/>
        <v>0</v>
      </c>
      <c r="J19" s="105">
        <f t="shared" si="2"/>
        <v>7</v>
      </c>
      <c r="K19" s="102">
        <f t="shared" si="3"/>
        <v>1.1666666666666667</v>
      </c>
      <c r="L19" s="102">
        <v>5.5</v>
      </c>
      <c r="M19" s="102">
        <f t="shared" si="4"/>
        <v>14.470866666666666</v>
      </c>
      <c r="N19" s="106">
        <f t="shared" si="5"/>
        <v>1.1447086666666666</v>
      </c>
      <c r="O19" s="102">
        <f t="shared" si="6"/>
        <v>1.07</v>
      </c>
      <c r="P19" s="107">
        <f t="shared" si="7"/>
        <v>1.2248</v>
      </c>
      <c r="S19" s="55" t="s">
        <v>12</v>
      </c>
      <c r="T19" s="59"/>
      <c r="U19" s="55">
        <f>ROUND((U15-((U15-U18)*(T14-T15)/(T18-T15))),4)</f>
        <v>1.222</v>
      </c>
    </row>
    <row r="20" spans="4:21" ht="18" customHeight="1">
      <c r="D20" s="101">
        <v>20</v>
      </c>
      <c r="E20" s="102">
        <v>7.5435</v>
      </c>
      <c r="F20" s="103">
        <v>15</v>
      </c>
      <c r="G20" s="103">
        <v>3</v>
      </c>
      <c r="H20" s="104">
        <f t="shared" si="0"/>
        <v>0</v>
      </c>
      <c r="I20" s="104">
        <f t="shared" si="1"/>
        <v>0</v>
      </c>
      <c r="J20" s="105">
        <f t="shared" si="2"/>
        <v>7</v>
      </c>
      <c r="K20" s="102">
        <f t="shared" si="3"/>
        <v>1.1666666666666667</v>
      </c>
      <c r="L20" s="102">
        <v>5.5</v>
      </c>
      <c r="M20" s="102">
        <f t="shared" si="4"/>
        <v>14.210166666666666</v>
      </c>
      <c r="N20" s="106">
        <f t="shared" si="5"/>
        <v>1.1421016666666666</v>
      </c>
      <c r="O20" s="102">
        <f t="shared" si="6"/>
        <v>1.07</v>
      </c>
      <c r="P20" s="107">
        <f t="shared" si="7"/>
        <v>1.222</v>
      </c>
      <c r="S20" s="55">
        <v>0</v>
      </c>
      <c r="T20" s="61">
        <v>5</v>
      </c>
      <c r="U20" s="55">
        <v>7</v>
      </c>
    </row>
    <row r="21" spans="4:21" ht="18" customHeight="1">
      <c r="D21" s="101">
        <v>25</v>
      </c>
      <c r="E21" s="102">
        <v>6.3527</v>
      </c>
      <c r="F21" s="103">
        <v>15</v>
      </c>
      <c r="G21" s="103">
        <v>3</v>
      </c>
      <c r="H21" s="104">
        <f t="shared" si="0"/>
        <v>0</v>
      </c>
      <c r="I21" s="104">
        <f t="shared" si="1"/>
        <v>0</v>
      </c>
      <c r="J21" s="105">
        <f t="shared" si="2"/>
        <v>7</v>
      </c>
      <c r="K21" s="102">
        <f t="shared" si="3"/>
        <v>1.1666666666666667</v>
      </c>
      <c r="L21" s="102">
        <v>5.5</v>
      </c>
      <c r="M21" s="102">
        <f t="shared" si="4"/>
        <v>13.019366666666667</v>
      </c>
      <c r="N21" s="106">
        <f t="shared" si="5"/>
        <v>1.1301936666666665</v>
      </c>
      <c r="O21" s="102">
        <f t="shared" si="6"/>
        <v>1.07</v>
      </c>
      <c r="P21" s="107">
        <f t="shared" si="7"/>
        <v>1.2093</v>
      </c>
      <c r="S21" s="55">
        <v>5</v>
      </c>
      <c r="T21" s="61">
        <v>6</v>
      </c>
      <c r="U21" s="55">
        <v>10</v>
      </c>
    </row>
    <row r="22" spans="4:21" ht="18" customHeight="1">
      <c r="D22" s="101">
        <v>30</v>
      </c>
      <c r="E22" s="102">
        <v>6.4889</v>
      </c>
      <c r="F22" s="103">
        <v>18</v>
      </c>
      <c r="G22" s="103">
        <v>3</v>
      </c>
      <c r="H22" s="104">
        <f t="shared" si="0"/>
        <v>0</v>
      </c>
      <c r="I22" s="104">
        <f t="shared" si="1"/>
        <v>0</v>
      </c>
      <c r="J22" s="105">
        <f t="shared" si="2"/>
        <v>7</v>
      </c>
      <c r="K22" s="102">
        <f t="shared" si="3"/>
        <v>1.1666666666666667</v>
      </c>
      <c r="L22" s="102">
        <v>5</v>
      </c>
      <c r="M22" s="102">
        <f t="shared" si="4"/>
        <v>12.655566666666667</v>
      </c>
      <c r="N22" s="106">
        <f t="shared" si="5"/>
        <v>1.1265556666666667</v>
      </c>
      <c r="O22" s="102">
        <f t="shared" si="6"/>
        <v>1.07</v>
      </c>
      <c r="P22" s="107">
        <f t="shared" si="7"/>
        <v>1.2054</v>
      </c>
      <c r="S22" s="55">
        <v>10</v>
      </c>
      <c r="T22" s="62">
        <v>7</v>
      </c>
      <c r="U22" s="55"/>
    </row>
    <row r="23" spans="4:21" ht="18" customHeight="1">
      <c r="D23" s="101">
        <v>35</v>
      </c>
      <c r="E23" s="102">
        <v>6.0807</v>
      </c>
      <c r="F23" s="103">
        <v>19</v>
      </c>
      <c r="G23" s="103">
        <v>3</v>
      </c>
      <c r="H23" s="104">
        <f t="shared" si="0"/>
        <v>0</v>
      </c>
      <c r="I23" s="104">
        <f t="shared" si="1"/>
        <v>0</v>
      </c>
      <c r="J23" s="105">
        <f t="shared" si="2"/>
        <v>7</v>
      </c>
      <c r="K23" s="102">
        <f t="shared" si="3"/>
        <v>1.1666666666666667</v>
      </c>
      <c r="L23" s="102">
        <v>5</v>
      </c>
      <c r="M23" s="102">
        <f t="shared" si="4"/>
        <v>12.247366666666668</v>
      </c>
      <c r="N23" s="106">
        <f t="shared" si="5"/>
        <v>1.1224736666666666</v>
      </c>
      <c r="O23" s="102">
        <f t="shared" si="6"/>
        <v>1.07</v>
      </c>
      <c r="P23" s="107">
        <f t="shared" si="7"/>
        <v>1.201</v>
      </c>
      <c r="S23" s="55">
        <v>15</v>
      </c>
      <c r="T23" s="62">
        <v>8</v>
      </c>
      <c r="U23" s="55"/>
    </row>
    <row r="24" spans="4:21" ht="18" customHeight="1">
      <c r="D24" s="101">
        <v>40</v>
      </c>
      <c r="E24" s="102">
        <v>5.5419</v>
      </c>
      <c r="F24" s="103">
        <v>19</v>
      </c>
      <c r="G24" s="103">
        <v>3</v>
      </c>
      <c r="H24" s="104">
        <f t="shared" si="0"/>
        <v>0</v>
      </c>
      <c r="I24" s="104">
        <f t="shared" si="1"/>
        <v>0</v>
      </c>
      <c r="J24" s="105">
        <f t="shared" si="2"/>
        <v>7</v>
      </c>
      <c r="K24" s="102">
        <f t="shared" si="3"/>
        <v>1.1666666666666667</v>
      </c>
      <c r="L24" s="102">
        <v>5</v>
      </c>
      <c r="M24" s="102">
        <f t="shared" si="4"/>
        <v>11.708566666666666</v>
      </c>
      <c r="N24" s="106">
        <f t="shared" si="5"/>
        <v>1.1170856666666666</v>
      </c>
      <c r="O24" s="102">
        <f t="shared" si="6"/>
        <v>1.07</v>
      </c>
      <c r="P24" s="107">
        <f t="shared" si="7"/>
        <v>1.1953</v>
      </c>
      <c r="S24" s="55"/>
      <c r="T24" s="61">
        <v>9</v>
      </c>
      <c r="U24" s="55"/>
    </row>
    <row r="25" spans="4:21" ht="18" customHeight="1">
      <c r="D25" s="101">
        <v>45</v>
      </c>
      <c r="E25" s="102">
        <v>5.1229</v>
      </c>
      <c r="F25" s="103">
        <v>19</v>
      </c>
      <c r="G25" s="103">
        <v>3</v>
      </c>
      <c r="H25" s="104">
        <f t="shared" si="0"/>
        <v>0</v>
      </c>
      <c r="I25" s="104">
        <f t="shared" si="1"/>
        <v>0</v>
      </c>
      <c r="J25" s="105">
        <f t="shared" si="2"/>
        <v>7</v>
      </c>
      <c r="K25" s="102">
        <f t="shared" si="3"/>
        <v>1.1666666666666667</v>
      </c>
      <c r="L25" s="102">
        <v>4.5</v>
      </c>
      <c r="M25" s="102">
        <f t="shared" si="4"/>
        <v>10.789566666666666</v>
      </c>
      <c r="N25" s="106">
        <f t="shared" si="5"/>
        <v>1.1078956666666666</v>
      </c>
      <c r="O25" s="102">
        <f t="shared" si="6"/>
        <v>1.07</v>
      </c>
      <c r="P25" s="107">
        <f t="shared" si="7"/>
        <v>1.1854</v>
      </c>
      <c r="S25" s="55"/>
      <c r="T25" s="61">
        <v>10</v>
      </c>
      <c r="U25" s="55"/>
    </row>
    <row r="26" spans="4:16" ht="18" customHeight="1">
      <c r="D26" s="101">
        <v>50</v>
      </c>
      <c r="E26" s="102">
        <v>4.7877</v>
      </c>
      <c r="F26" s="103">
        <v>19</v>
      </c>
      <c r="G26" s="103">
        <v>3</v>
      </c>
      <c r="H26" s="104">
        <f t="shared" si="0"/>
        <v>0</v>
      </c>
      <c r="I26" s="104">
        <f t="shared" si="1"/>
        <v>0</v>
      </c>
      <c r="J26" s="105">
        <f t="shared" si="2"/>
        <v>7</v>
      </c>
      <c r="K26" s="102">
        <f t="shared" si="3"/>
        <v>1.1666666666666667</v>
      </c>
      <c r="L26" s="102">
        <v>4.5</v>
      </c>
      <c r="M26" s="102">
        <f t="shared" si="4"/>
        <v>10.454366666666667</v>
      </c>
      <c r="N26" s="106">
        <f t="shared" si="5"/>
        <v>1.1045436666666666</v>
      </c>
      <c r="O26" s="102">
        <f t="shared" si="6"/>
        <v>1.07</v>
      </c>
      <c r="P26" s="107">
        <f t="shared" si="7"/>
        <v>1.1819</v>
      </c>
    </row>
    <row r="27" spans="4:16" ht="18" customHeight="1">
      <c r="D27" s="101">
        <v>55</v>
      </c>
      <c r="E27" s="102">
        <v>4.6237</v>
      </c>
      <c r="F27" s="103">
        <v>19</v>
      </c>
      <c r="G27" s="103">
        <v>3</v>
      </c>
      <c r="H27" s="104">
        <f t="shared" si="0"/>
        <v>0</v>
      </c>
      <c r="I27" s="104">
        <f t="shared" si="1"/>
        <v>0</v>
      </c>
      <c r="J27" s="105">
        <f t="shared" si="2"/>
        <v>7</v>
      </c>
      <c r="K27" s="102">
        <f t="shared" si="3"/>
        <v>1.1666666666666667</v>
      </c>
      <c r="L27" s="102">
        <v>4.5</v>
      </c>
      <c r="M27" s="102">
        <f t="shared" si="4"/>
        <v>10.290366666666667</v>
      </c>
      <c r="N27" s="106">
        <f t="shared" si="5"/>
        <v>1.1029036666666667</v>
      </c>
      <c r="O27" s="102">
        <f t="shared" si="6"/>
        <v>1.07</v>
      </c>
      <c r="P27" s="107">
        <f t="shared" si="7"/>
        <v>1.1801</v>
      </c>
    </row>
    <row r="28" spans="4:16" ht="18" customHeight="1">
      <c r="D28" s="101">
        <v>60</v>
      </c>
      <c r="E28" s="102">
        <v>4.4544</v>
      </c>
      <c r="F28" s="103">
        <v>19</v>
      </c>
      <c r="G28" s="103">
        <v>3</v>
      </c>
      <c r="H28" s="104">
        <f t="shared" si="0"/>
        <v>0</v>
      </c>
      <c r="I28" s="104">
        <f t="shared" si="1"/>
        <v>0</v>
      </c>
      <c r="J28" s="105">
        <f t="shared" si="2"/>
        <v>7</v>
      </c>
      <c r="K28" s="102">
        <f t="shared" si="3"/>
        <v>1.1666666666666667</v>
      </c>
      <c r="L28" s="102">
        <v>4.5</v>
      </c>
      <c r="M28" s="102">
        <f t="shared" si="4"/>
        <v>10.121066666666668</v>
      </c>
      <c r="N28" s="106">
        <f t="shared" si="5"/>
        <v>1.1012106666666668</v>
      </c>
      <c r="O28" s="102">
        <f t="shared" si="6"/>
        <v>1.07</v>
      </c>
      <c r="P28" s="107">
        <f t="shared" si="7"/>
        <v>1.1783</v>
      </c>
    </row>
    <row r="29" spans="4:16" ht="18" customHeight="1">
      <c r="D29" s="101">
        <v>65</v>
      </c>
      <c r="E29" s="102">
        <v>4.6722</v>
      </c>
      <c r="F29" s="103">
        <v>21</v>
      </c>
      <c r="G29" s="103">
        <v>3</v>
      </c>
      <c r="H29" s="104">
        <f t="shared" si="0"/>
        <v>0</v>
      </c>
      <c r="I29" s="104">
        <f t="shared" si="1"/>
        <v>0</v>
      </c>
      <c r="J29" s="105">
        <f t="shared" si="2"/>
        <v>7</v>
      </c>
      <c r="K29" s="102">
        <f t="shared" si="3"/>
        <v>1.1666666666666667</v>
      </c>
      <c r="L29" s="102">
        <v>4</v>
      </c>
      <c r="M29" s="102">
        <f t="shared" si="4"/>
        <v>9.838866666666668</v>
      </c>
      <c r="N29" s="106">
        <f t="shared" si="5"/>
        <v>1.0983886666666667</v>
      </c>
      <c r="O29" s="102">
        <f t="shared" si="6"/>
        <v>1.07</v>
      </c>
      <c r="P29" s="107">
        <f t="shared" si="7"/>
        <v>1.1753</v>
      </c>
    </row>
    <row r="30" spans="4:16" ht="18" customHeight="1">
      <c r="D30" s="101">
        <v>70</v>
      </c>
      <c r="E30" s="102">
        <v>4.539</v>
      </c>
      <c r="F30" s="103">
        <v>21</v>
      </c>
      <c r="G30" s="103">
        <v>3</v>
      </c>
      <c r="H30" s="104">
        <f t="shared" si="0"/>
        <v>0</v>
      </c>
      <c r="I30" s="104">
        <f t="shared" si="1"/>
        <v>0</v>
      </c>
      <c r="J30" s="105">
        <f t="shared" si="2"/>
        <v>7</v>
      </c>
      <c r="K30" s="102">
        <f t="shared" si="3"/>
        <v>1.1666666666666667</v>
      </c>
      <c r="L30" s="102">
        <v>4</v>
      </c>
      <c r="M30" s="102">
        <f t="shared" si="4"/>
        <v>9.705666666666666</v>
      </c>
      <c r="N30" s="106">
        <f t="shared" si="5"/>
        <v>1.0970566666666666</v>
      </c>
      <c r="O30" s="102">
        <f t="shared" si="6"/>
        <v>1.07</v>
      </c>
      <c r="P30" s="107">
        <f t="shared" si="7"/>
        <v>1.1739</v>
      </c>
    </row>
    <row r="31" spans="4:16" ht="18" customHeight="1">
      <c r="D31" s="101">
        <v>75</v>
      </c>
      <c r="E31" s="102">
        <v>4.4235</v>
      </c>
      <c r="F31" s="103">
        <v>21</v>
      </c>
      <c r="G31" s="103">
        <v>3</v>
      </c>
      <c r="H31" s="104">
        <f t="shared" si="0"/>
        <v>0</v>
      </c>
      <c r="I31" s="104">
        <f t="shared" si="1"/>
        <v>0</v>
      </c>
      <c r="J31" s="105">
        <f t="shared" si="2"/>
        <v>7</v>
      </c>
      <c r="K31" s="102">
        <f t="shared" si="3"/>
        <v>1.1666666666666667</v>
      </c>
      <c r="L31" s="102">
        <v>4</v>
      </c>
      <c r="M31" s="102">
        <f t="shared" si="4"/>
        <v>9.590166666666667</v>
      </c>
      <c r="N31" s="106">
        <f t="shared" si="5"/>
        <v>1.0959016666666668</v>
      </c>
      <c r="O31" s="102">
        <f t="shared" si="6"/>
        <v>1.07</v>
      </c>
      <c r="P31" s="107">
        <f t="shared" si="7"/>
        <v>1.1726</v>
      </c>
    </row>
    <row r="32" spans="4:16" ht="18" customHeight="1">
      <c r="D32" s="101">
        <v>80</v>
      </c>
      <c r="E32" s="102">
        <v>4.3224</v>
      </c>
      <c r="F32" s="103">
        <v>21</v>
      </c>
      <c r="G32" s="103">
        <v>3</v>
      </c>
      <c r="H32" s="104">
        <f t="shared" si="0"/>
        <v>0</v>
      </c>
      <c r="I32" s="104">
        <f t="shared" si="1"/>
        <v>0</v>
      </c>
      <c r="J32" s="105">
        <f t="shared" si="2"/>
        <v>7</v>
      </c>
      <c r="K32" s="102">
        <f t="shared" si="3"/>
        <v>1.1666666666666667</v>
      </c>
      <c r="L32" s="102">
        <v>4</v>
      </c>
      <c r="M32" s="102">
        <f t="shared" si="4"/>
        <v>9.489066666666666</v>
      </c>
      <c r="N32" s="106">
        <f t="shared" si="5"/>
        <v>1.0948906666666667</v>
      </c>
      <c r="O32" s="102">
        <f t="shared" si="6"/>
        <v>1.07</v>
      </c>
      <c r="P32" s="107">
        <f t="shared" si="7"/>
        <v>1.1715</v>
      </c>
    </row>
    <row r="33" spans="4:16" ht="18" customHeight="1">
      <c r="D33" s="101">
        <v>85</v>
      </c>
      <c r="E33" s="102">
        <v>4.2333</v>
      </c>
      <c r="F33" s="103">
        <v>21</v>
      </c>
      <c r="G33" s="103">
        <v>3</v>
      </c>
      <c r="H33" s="104">
        <f t="shared" si="0"/>
        <v>0</v>
      </c>
      <c r="I33" s="104">
        <f t="shared" si="1"/>
        <v>0</v>
      </c>
      <c r="J33" s="105">
        <f t="shared" si="2"/>
        <v>7</v>
      </c>
      <c r="K33" s="102">
        <f t="shared" si="3"/>
        <v>1.1666666666666667</v>
      </c>
      <c r="L33" s="102">
        <v>4</v>
      </c>
      <c r="M33" s="102">
        <f t="shared" si="4"/>
        <v>9.399966666666668</v>
      </c>
      <c r="N33" s="106">
        <f t="shared" si="5"/>
        <v>1.0939996666666667</v>
      </c>
      <c r="O33" s="102">
        <f t="shared" si="6"/>
        <v>1.07</v>
      </c>
      <c r="P33" s="107">
        <f t="shared" si="7"/>
        <v>1.1706</v>
      </c>
    </row>
    <row r="34" spans="4:16" ht="18" customHeight="1">
      <c r="D34" s="101">
        <v>90</v>
      </c>
      <c r="E34" s="102">
        <v>4.154</v>
      </c>
      <c r="F34" s="103">
        <v>21</v>
      </c>
      <c r="G34" s="103">
        <v>3</v>
      </c>
      <c r="H34" s="104">
        <f t="shared" si="0"/>
        <v>0</v>
      </c>
      <c r="I34" s="104">
        <f t="shared" si="1"/>
        <v>0</v>
      </c>
      <c r="J34" s="105">
        <f t="shared" si="2"/>
        <v>7</v>
      </c>
      <c r="K34" s="102">
        <f t="shared" si="3"/>
        <v>1.1666666666666667</v>
      </c>
      <c r="L34" s="102">
        <v>4</v>
      </c>
      <c r="M34" s="102">
        <f t="shared" si="4"/>
        <v>9.320666666666668</v>
      </c>
      <c r="N34" s="106">
        <f t="shared" si="5"/>
        <v>1.0932066666666667</v>
      </c>
      <c r="O34" s="102">
        <f t="shared" si="6"/>
        <v>1.07</v>
      </c>
      <c r="P34" s="107">
        <f t="shared" si="7"/>
        <v>1.1697</v>
      </c>
    </row>
    <row r="35" spans="4:16" ht="18" customHeight="1">
      <c r="D35" s="101">
        <v>95</v>
      </c>
      <c r="E35" s="102">
        <v>4.0831</v>
      </c>
      <c r="F35" s="103">
        <v>21</v>
      </c>
      <c r="G35" s="103">
        <v>3</v>
      </c>
      <c r="H35" s="104">
        <f t="shared" si="0"/>
        <v>0</v>
      </c>
      <c r="I35" s="104">
        <f t="shared" si="1"/>
        <v>0</v>
      </c>
      <c r="J35" s="105">
        <f t="shared" si="2"/>
        <v>7</v>
      </c>
      <c r="K35" s="102">
        <f t="shared" si="3"/>
        <v>1.1666666666666667</v>
      </c>
      <c r="L35" s="102">
        <v>4</v>
      </c>
      <c r="M35" s="102">
        <f t="shared" si="4"/>
        <v>9.249766666666666</v>
      </c>
      <c r="N35" s="106">
        <f t="shared" si="5"/>
        <v>1.0924976666666666</v>
      </c>
      <c r="O35" s="102">
        <f t="shared" si="6"/>
        <v>1.07</v>
      </c>
      <c r="P35" s="107">
        <f t="shared" si="7"/>
        <v>1.169</v>
      </c>
    </row>
    <row r="36" spans="4:16" ht="18" customHeight="1">
      <c r="D36" s="101">
        <v>100</v>
      </c>
      <c r="E36" s="102">
        <v>4.0193</v>
      </c>
      <c r="F36" s="103">
        <v>21</v>
      </c>
      <c r="G36" s="103">
        <v>3</v>
      </c>
      <c r="H36" s="104">
        <f t="shared" si="0"/>
        <v>0</v>
      </c>
      <c r="I36" s="104">
        <f t="shared" si="1"/>
        <v>0</v>
      </c>
      <c r="J36" s="105">
        <f t="shared" si="2"/>
        <v>7</v>
      </c>
      <c r="K36" s="102">
        <f t="shared" si="3"/>
        <v>1.1666666666666667</v>
      </c>
      <c r="L36" s="102">
        <v>4</v>
      </c>
      <c r="M36" s="102">
        <f t="shared" si="4"/>
        <v>9.185966666666667</v>
      </c>
      <c r="N36" s="106">
        <f t="shared" si="5"/>
        <v>1.0918596666666667</v>
      </c>
      <c r="O36" s="102">
        <f t="shared" si="6"/>
        <v>1.07</v>
      </c>
      <c r="P36" s="107">
        <f t="shared" si="7"/>
        <v>1.1683</v>
      </c>
    </row>
    <row r="37" spans="4:16" ht="18" customHeight="1">
      <c r="D37" s="101">
        <v>105</v>
      </c>
      <c r="E37" s="102">
        <v>4.1756</v>
      </c>
      <c r="F37" s="103">
        <v>21</v>
      </c>
      <c r="G37" s="103">
        <v>3</v>
      </c>
      <c r="H37" s="104">
        <f t="shared" si="0"/>
        <v>0</v>
      </c>
      <c r="I37" s="104">
        <f t="shared" si="1"/>
        <v>0</v>
      </c>
      <c r="J37" s="105">
        <f t="shared" si="2"/>
        <v>7</v>
      </c>
      <c r="K37" s="102">
        <f t="shared" si="3"/>
        <v>1.1666666666666667</v>
      </c>
      <c r="L37" s="102">
        <v>3.5</v>
      </c>
      <c r="M37" s="102">
        <f t="shared" si="4"/>
        <v>8.842266666666667</v>
      </c>
      <c r="N37" s="106">
        <f t="shared" si="5"/>
        <v>1.0884226666666668</v>
      </c>
      <c r="O37" s="102">
        <f t="shared" si="6"/>
        <v>1.07</v>
      </c>
      <c r="P37" s="107">
        <f t="shared" si="7"/>
        <v>1.1646</v>
      </c>
    </row>
    <row r="38" spans="4:16" ht="18" customHeight="1">
      <c r="D38" s="101">
        <v>110</v>
      </c>
      <c r="E38" s="102">
        <v>4.037</v>
      </c>
      <c r="F38" s="103">
        <v>21</v>
      </c>
      <c r="G38" s="103">
        <v>3</v>
      </c>
      <c r="H38" s="104">
        <f t="shared" si="0"/>
        <v>0</v>
      </c>
      <c r="I38" s="104">
        <f t="shared" si="1"/>
        <v>0</v>
      </c>
      <c r="J38" s="105">
        <f t="shared" si="2"/>
        <v>7</v>
      </c>
      <c r="K38" s="102">
        <f t="shared" si="3"/>
        <v>1.1666666666666667</v>
      </c>
      <c r="L38" s="102">
        <v>3.5</v>
      </c>
      <c r="M38" s="102">
        <f t="shared" si="4"/>
        <v>8.703666666666667</v>
      </c>
      <c r="N38" s="106">
        <f t="shared" si="5"/>
        <v>1.0870366666666667</v>
      </c>
      <c r="O38" s="102">
        <f t="shared" si="6"/>
        <v>1.07</v>
      </c>
      <c r="P38" s="107">
        <f t="shared" si="7"/>
        <v>1.1631</v>
      </c>
    </row>
    <row r="39" spans="4:16" ht="18" customHeight="1">
      <c r="D39" s="101">
        <v>115</v>
      </c>
      <c r="E39" s="102">
        <v>3.9104</v>
      </c>
      <c r="F39" s="103">
        <v>21</v>
      </c>
      <c r="G39" s="103">
        <v>3</v>
      </c>
      <c r="H39" s="104">
        <f t="shared" si="0"/>
        <v>0</v>
      </c>
      <c r="I39" s="104">
        <f t="shared" si="1"/>
        <v>0</v>
      </c>
      <c r="J39" s="105">
        <f t="shared" si="2"/>
        <v>7</v>
      </c>
      <c r="K39" s="102">
        <f t="shared" si="3"/>
        <v>1.1666666666666667</v>
      </c>
      <c r="L39" s="102">
        <v>3.5</v>
      </c>
      <c r="M39" s="102">
        <f t="shared" si="4"/>
        <v>8.577066666666667</v>
      </c>
      <c r="N39" s="106">
        <f t="shared" si="5"/>
        <v>1.0857706666666667</v>
      </c>
      <c r="O39" s="102">
        <f t="shared" si="6"/>
        <v>1.07</v>
      </c>
      <c r="P39" s="107">
        <f t="shared" si="7"/>
        <v>1.1618</v>
      </c>
    </row>
    <row r="40" spans="4:16" ht="18" customHeight="1">
      <c r="D40" s="101">
        <v>120</v>
      </c>
      <c r="E40" s="102">
        <v>3.7945</v>
      </c>
      <c r="F40" s="103">
        <v>21</v>
      </c>
      <c r="G40" s="103">
        <v>3</v>
      </c>
      <c r="H40" s="104">
        <f t="shared" si="0"/>
        <v>0</v>
      </c>
      <c r="I40" s="104">
        <f t="shared" si="1"/>
        <v>0</v>
      </c>
      <c r="J40" s="105">
        <f t="shared" si="2"/>
        <v>7</v>
      </c>
      <c r="K40" s="102">
        <f t="shared" si="3"/>
        <v>1.1666666666666667</v>
      </c>
      <c r="L40" s="102">
        <v>3.5</v>
      </c>
      <c r="M40" s="102">
        <f aca="true" t="shared" si="8" ref="M40:M57">E40+K40+L40</f>
        <v>8.461166666666667</v>
      </c>
      <c r="N40" s="106">
        <f t="shared" si="5"/>
        <v>1.0846116666666668</v>
      </c>
      <c r="O40" s="102">
        <f t="shared" si="6"/>
        <v>1.07</v>
      </c>
      <c r="P40" s="107">
        <f aca="true" t="shared" si="9" ref="P40:P57">ROUND(N40*O40,4)</f>
        <v>1.1605</v>
      </c>
    </row>
    <row r="41" spans="4:16" ht="18" customHeight="1">
      <c r="D41" s="101">
        <v>125</v>
      </c>
      <c r="E41" s="102">
        <v>3.6877</v>
      </c>
      <c r="F41" s="103">
        <v>21</v>
      </c>
      <c r="G41" s="103">
        <v>3</v>
      </c>
      <c r="H41" s="104">
        <f t="shared" si="0"/>
        <v>0</v>
      </c>
      <c r="I41" s="104">
        <f t="shared" si="1"/>
        <v>0</v>
      </c>
      <c r="J41" s="105">
        <f t="shared" si="2"/>
        <v>7</v>
      </c>
      <c r="K41" s="102">
        <f t="shared" si="3"/>
        <v>1.1666666666666667</v>
      </c>
      <c r="L41" s="102">
        <v>3.5</v>
      </c>
      <c r="M41" s="102">
        <f t="shared" si="8"/>
        <v>8.354366666666667</v>
      </c>
      <c r="N41" s="106">
        <f t="shared" si="5"/>
        <v>1.0835436666666667</v>
      </c>
      <c r="O41" s="102">
        <f t="shared" si="6"/>
        <v>1.07</v>
      </c>
      <c r="P41" s="107">
        <f t="shared" si="9"/>
        <v>1.1594</v>
      </c>
    </row>
    <row r="42" spans="4:16" ht="18" customHeight="1">
      <c r="D42" s="101">
        <v>130</v>
      </c>
      <c r="E42" s="102">
        <v>3.5892</v>
      </c>
      <c r="F42" s="103">
        <v>21</v>
      </c>
      <c r="G42" s="103">
        <v>3</v>
      </c>
      <c r="H42" s="104">
        <f t="shared" si="0"/>
        <v>0</v>
      </c>
      <c r="I42" s="104">
        <f t="shared" si="1"/>
        <v>0</v>
      </c>
      <c r="J42" s="105">
        <f t="shared" si="2"/>
        <v>7</v>
      </c>
      <c r="K42" s="102">
        <f t="shared" si="3"/>
        <v>1.1666666666666667</v>
      </c>
      <c r="L42" s="102">
        <v>3.5</v>
      </c>
      <c r="M42" s="102">
        <f t="shared" si="8"/>
        <v>8.255866666666666</v>
      </c>
      <c r="N42" s="106">
        <f t="shared" si="5"/>
        <v>1.0825586666666667</v>
      </c>
      <c r="O42" s="102">
        <f t="shared" si="6"/>
        <v>1.07</v>
      </c>
      <c r="P42" s="107">
        <f t="shared" si="9"/>
        <v>1.1583</v>
      </c>
    </row>
    <row r="43" spans="4:16" ht="18" customHeight="1">
      <c r="D43" s="101">
        <v>135</v>
      </c>
      <c r="E43" s="102">
        <v>3.498</v>
      </c>
      <c r="F43" s="103">
        <v>21</v>
      </c>
      <c r="G43" s="103">
        <v>3</v>
      </c>
      <c r="H43" s="104">
        <f t="shared" si="0"/>
        <v>0</v>
      </c>
      <c r="I43" s="104">
        <f t="shared" si="1"/>
        <v>0</v>
      </c>
      <c r="J43" s="105">
        <f t="shared" si="2"/>
        <v>7</v>
      </c>
      <c r="K43" s="102">
        <f t="shared" si="3"/>
        <v>1.1666666666666667</v>
      </c>
      <c r="L43" s="102">
        <v>3.5</v>
      </c>
      <c r="M43" s="102">
        <f t="shared" si="8"/>
        <v>8.164666666666667</v>
      </c>
      <c r="N43" s="106">
        <f t="shared" si="5"/>
        <v>1.0816466666666666</v>
      </c>
      <c r="O43" s="102">
        <f t="shared" si="6"/>
        <v>1.07</v>
      </c>
      <c r="P43" s="107">
        <f t="shared" si="9"/>
        <v>1.1574</v>
      </c>
    </row>
    <row r="44" spans="4:16" ht="18" customHeight="1">
      <c r="D44" s="101">
        <v>140</v>
      </c>
      <c r="E44" s="102">
        <v>3.4134</v>
      </c>
      <c r="F44" s="103">
        <v>21</v>
      </c>
      <c r="G44" s="103">
        <v>3</v>
      </c>
      <c r="H44" s="104">
        <f t="shared" si="0"/>
        <v>0</v>
      </c>
      <c r="I44" s="104">
        <f t="shared" si="1"/>
        <v>0</v>
      </c>
      <c r="J44" s="105">
        <f t="shared" si="2"/>
        <v>7</v>
      </c>
      <c r="K44" s="102">
        <f t="shared" si="3"/>
        <v>1.1666666666666667</v>
      </c>
      <c r="L44" s="102">
        <v>3.5</v>
      </c>
      <c r="M44" s="102">
        <f t="shared" si="8"/>
        <v>8.080066666666667</v>
      </c>
      <c r="N44" s="106">
        <f t="shared" si="5"/>
        <v>1.0808006666666667</v>
      </c>
      <c r="O44" s="102">
        <f t="shared" si="6"/>
        <v>1.07</v>
      </c>
      <c r="P44" s="107">
        <f t="shared" si="9"/>
        <v>1.1565</v>
      </c>
    </row>
    <row r="45" spans="4:16" ht="18" customHeight="1">
      <c r="D45" s="101">
        <v>145</v>
      </c>
      <c r="E45" s="102">
        <v>3.3345</v>
      </c>
      <c r="F45" s="103">
        <v>21</v>
      </c>
      <c r="G45" s="103">
        <v>3</v>
      </c>
      <c r="H45" s="104">
        <f t="shared" si="0"/>
        <v>0</v>
      </c>
      <c r="I45" s="104">
        <f t="shared" si="1"/>
        <v>0</v>
      </c>
      <c r="J45" s="105">
        <f t="shared" si="2"/>
        <v>7</v>
      </c>
      <c r="K45" s="102">
        <f t="shared" si="3"/>
        <v>1.1666666666666667</v>
      </c>
      <c r="L45" s="102">
        <v>3.5</v>
      </c>
      <c r="M45" s="102">
        <f t="shared" si="8"/>
        <v>8.001166666666666</v>
      </c>
      <c r="N45" s="106">
        <f t="shared" si="5"/>
        <v>1.0800116666666666</v>
      </c>
      <c r="O45" s="102">
        <f t="shared" si="6"/>
        <v>1.07</v>
      </c>
      <c r="P45" s="107">
        <f t="shared" si="9"/>
        <v>1.1556</v>
      </c>
    </row>
    <row r="46" spans="4:16" ht="18" customHeight="1">
      <c r="D46" s="101">
        <v>150</v>
      </c>
      <c r="E46" s="102">
        <v>3.2609</v>
      </c>
      <c r="F46" s="103">
        <v>21</v>
      </c>
      <c r="G46" s="103">
        <v>3</v>
      </c>
      <c r="H46" s="104">
        <f t="shared" si="0"/>
        <v>0</v>
      </c>
      <c r="I46" s="104">
        <f t="shared" si="1"/>
        <v>0</v>
      </c>
      <c r="J46" s="105">
        <f t="shared" si="2"/>
        <v>7</v>
      </c>
      <c r="K46" s="102">
        <f t="shared" si="3"/>
        <v>1.1666666666666667</v>
      </c>
      <c r="L46" s="102">
        <v>3.5</v>
      </c>
      <c r="M46" s="102">
        <f t="shared" si="8"/>
        <v>7.927566666666666</v>
      </c>
      <c r="N46" s="106">
        <f t="shared" si="5"/>
        <v>1.0792756666666667</v>
      </c>
      <c r="O46" s="102">
        <f t="shared" si="6"/>
        <v>1.07</v>
      </c>
      <c r="P46" s="107">
        <f t="shared" si="9"/>
        <v>1.1548</v>
      </c>
    </row>
    <row r="47" spans="4:16" ht="18" customHeight="1">
      <c r="D47" s="101">
        <v>155</v>
      </c>
      <c r="E47" s="102">
        <v>3.1921</v>
      </c>
      <c r="F47" s="103">
        <v>21</v>
      </c>
      <c r="G47" s="103">
        <v>3</v>
      </c>
      <c r="H47" s="104">
        <f t="shared" si="0"/>
        <v>0</v>
      </c>
      <c r="I47" s="104">
        <f t="shared" si="1"/>
        <v>0</v>
      </c>
      <c r="J47" s="105">
        <f t="shared" si="2"/>
        <v>7</v>
      </c>
      <c r="K47" s="102">
        <f t="shared" si="3"/>
        <v>1.1666666666666667</v>
      </c>
      <c r="L47" s="102">
        <v>3.5</v>
      </c>
      <c r="M47" s="102">
        <f t="shared" si="8"/>
        <v>7.858766666666667</v>
      </c>
      <c r="N47" s="106">
        <f t="shared" si="5"/>
        <v>1.0785876666666667</v>
      </c>
      <c r="O47" s="102">
        <f t="shared" si="6"/>
        <v>1.07</v>
      </c>
      <c r="P47" s="107">
        <f t="shared" si="9"/>
        <v>1.1541</v>
      </c>
    </row>
    <row r="48" spans="4:16" ht="18" customHeight="1">
      <c r="D48" s="101">
        <v>160</v>
      </c>
      <c r="E48" s="102">
        <v>3.1275</v>
      </c>
      <c r="F48" s="103">
        <v>21</v>
      </c>
      <c r="G48" s="103">
        <v>3</v>
      </c>
      <c r="H48" s="104">
        <f t="shared" si="0"/>
        <v>0</v>
      </c>
      <c r="I48" s="104">
        <f t="shared" si="1"/>
        <v>0</v>
      </c>
      <c r="J48" s="105">
        <f t="shared" si="2"/>
        <v>7</v>
      </c>
      <c r="K48" s="102">
        <f t="shared" si="3"/>
        <v>1.1666666666666667</v>
      </c>
      <c r="L48" s="102">
        <v>3.5</v>
      </c>
      <c r="M48" s="102">
        <f t="shared" si="8"/>
        <v>7.7941666666666665</v>
      </c>
      <c r="N48" s="106">
        <f t="shared" si="5"/>
        <v>1.0779416666666666</v>
      </c>
      <c r="O48" s="102">
        <f t="shared" si="6"/>
        <v>1.07</v>
      </c>
      <c r="P48" s="107">
        <f t="shared" si="9"/>
        <v>1.1534</v>
      </c>
    </row>
    <row r="49" spans="4:16" ht="18" customHeight="1">
      <c r="D49" s="101">
        <v>165</v>
      </c>
      <c r="E49" s="102">
        <v>3.0669</v>
      </c>
      <c r="F49" s="103">
        <v>21</v>
      </c>
      <c r="G49" s="103">
        <v>3</v>
      </c>
      <c r="H49" s="104">
        <f t="shared" si="0"/>
        <v>0</v>
      </c>
      <c r="I49" s="104">
        <f t="shared" si="1"/>
        <v>0</v>
      </c>
      <c r="J49" s="105">
        <f t="shared" si="2"/>
        <v>7</v>
      </c>
      <c r="K49" s="102">
        <f t="shared" si="3"/>
        <v>1.1666666666666667</v>
      </c>
      <c r="L49" s="102">
        <v>3.5</v>
      </c>
      <c r="M49" s="102">
        <f t="shared" si="8"/>
        <v>7.7335666666666665</v>
      </c>
      <c r="N49" s="106">
        <f t="shared" si="5"/>
        <v>1.0773356666666667</v>
      </c>
      <c r="O49" s="102">
        <f t="shared" si="6"/>
        <v>1.07</v>
      </c>
      <c r="P49" s="107">
        <f t="shared" si="9"/>
        <v>1.1527</v>
      </c>
    </row>
    <row r="50" spans="4:16" ht="18" customHeight="1">
      <c r="D50" s="101">
        <v>170</v>
      </c>
      <c r="E50" s="102">
        <v>3.0098</v>
      </c>
      <c r="F50" s="103">
        <v>21</v>
      </c>
      <c r="G50" s="103">
        <v>3</v>
      </c>
      <c r="H50" s="104">
        <f t="shared" si="0"/>
        <v>0</v>
      </c>
      <c r="I50" s="104">
        <f t="shared" si="1"/>
        <v>0</v>
      </c>
      <c r="J50" s="105">
        <f t="shared" si="2"/>
        <v>7</v>
      </c>
      <c r="K50" s="102">
        <f t="shared" si="3"/>
        <v>1.1666666666666667</v>
      </c>
      <c r="L50" s="102">
        <v>3.5</v>
      </c>
      <c r="M50" s="102">
        <f t="shared" si="8"/>
        <v>7.676466666666666</v>
      </c>
      <c r="N50" s="106">
        <f t="shared" si="5"/>
        <v>1.0767646666666666</v>
      </c>
      <c r="O50" s="102">
        <f t="shared" si="6"/>
        <v>1.07</v>
      </c>
      <c r="P50" s="107">
        <f t="shared" si="9"/>
        <v>1.1521</v>
      </c>
    </row>
    <row r="51" spans="4:16" ht="18" customHeight="1">
      <c r="D51" s="101">
        <v>175</v>
      </c>
      <c r="E51" s="102">
        <v>2.956</v>
      </c>
      <c r="F51" s="103">
        <v>21</v>
      </c>
      <c r="G51" s="103">
        <v>3</v>
      </c>
      <c r="H51" s="104">
        <f t="shared" si="0"/>
        <v>0</v>
      </c>
      <c r="I51" s="104">
        <f t="shared" si="1"/>
        <v>0</v>
      </c>
      <c r="J51" s="105">
        <f t="shared" si="2"/>
        <v>7</v>
      </c>
      <c r="K51" s="102">
        <f t="shared" si="3"/>
        <v>1.1666666666666667</v>
      </c>
      <c r="L51" s="102">
        <v>3.5</v>
      </c>
      <c r="M51" s="102">
        <f t="shared" si="8"/>
        <v>7.6226666666666665</v>
      </c>
      <c r="N51" s="106">
        <f t="shared" si="5"/>
        <v>1.0762266666666667</v>
      </c>
      <c r="O51" s="102">
        <f t="shared" si="6"/>
        <v>1.07</v>
      </c>
      <c r="P51" s="107">
        <f t="shared" si="9"/>
        <v>1.1516</v>
      </c>
    </row>
    <row r="52" spans="4:16" ht="18" customHeight="1">
      <c r="D52" s="101">
        <v>180</v>
      </c>
      <c r="E52" s="102">
        <v>2.9052</v>
      </c>
      <c r="F52" s="103">
        <v>21</v>
      </c>
      <c r="G52" s="103">
        <v>3</v>
      </c>
      <c r="H52" s="104">
        <f t="shared" si="0"/>
        <v>0</v>
      </c>
      <c r="I52" s="104">
        <f t="shared" si="1"/>
        <v>0</v>
      </c>
      <c r="J52" s="105">
        <f t="shared" si="2"/>
        <v>7</v>
      </c>
      <c r="K52" s="102">
        <f t="shared" si="3"/>
        <v>1.1666666666666667</v>
      </c>
      <c r="L52" s="102">
        <v>3.5</v>
      </c>
      <c r="M52" s="102">
        <f t="shared" si="8"/>
        <v>7.571866666666667</v>
      </c>
      <c r="N52" s="106">
        <f t="shared" si="5"/>
        <v>1.0757186666666667</v>
      </c>
      <c r="O52" s="102">
        <f t="shared" si="6"/>
        <v>1.07</v>
      </c>
      <c r="P52" s="107">
        <f t="shared" si="9"/>
        <v>1.151</v>
      </c>
    </row>
    <row r="53" spans="4:16" ht="18" customHeight="1">
      <c r="D53" s="101">
        <v>185</v>
      </c>
      <c r="E53" s="102">
        <v>2.8572</v>
      </c>
      <c r="F53" s="103">
        <v>21</v>
      </c>
      <c r="G53" s="103">
        <v>3</v>
      </c>
      <c r="H53" s="104">
        <f t="shared" si="0"/>
        <v>0</v>
      </c>
      <c r="I53" s="104">
        <f t="shared" si="1"/>
        <v>0</v>
      </c>
      <c r="J53" s="105">
        <f t="shared" si="2"/>
        <v>7</v>
      </c>
      <c r="K53" s="102">
        <f t="shared" si="3"/>
        <v>1.1666666666666667</v>
      </c>
      <c r="L53" s="102">
        <v>3.5</v>
      </c>
      <c r="M53" s="102">
        <f t="shared" si="8"/>
        <v>7.523866666666667</v>
      </c>
      <c r="N53" s="106">
        <f t="shared" si="5"/>
        <v>1.0752386666666667</v>
      </c>
      <c r="O53" s="102">
        <f t="shared" si="6"/>
        <v>1.07</v>
      </c>
      <c r="P53" s="107">
        <f t="shared" si="9"/>
        <v>1.1505</v>
      </c>
    </row>
    <row r="54" spans="4:16" ht="18" customHeight="1">
      <c r="D54" s="101">
        <v>190</v>
      </c>
      <c r="E54" s="102">
        <v>2.8116</v>
      </c>
      <c r="F54" s="103">
        <v>21</v>
      </c>
      <c r="G54" s="103">
        <v>3</v>
      </c>
      <c r="H54" s="104">
        <f t="shared" si="0"/>
        <v>0</v>
      </c>
      <c r="I54" s="104">
        <f t="shared" si="1"/>
        <v>0</v>
      </c>
      <c r="J54" s="105">
        <f t="shared" si="2"/>
        <v>7</v>
      </c>
      <c r="K54" s="102">
        <f t="shared" si="3"/>
        <v>1.1666666666666667</v>
      </c>
      <c r="L54" s="102">
        <v>3.5</v>
      </c>
      <c r="M54" s="102">
        <f t="shared" si="8"/>
        <v>7.478266666666666</v>
      </c>
      <c r="N54" s="106">
        <f t="shared" si="5"/>
        <v>1.0747826666666667</v>
      </c>
      <c r="O54" s="102">
        <f t="shared" si="6"/>
        <v>1.07</v>
      </c>
      <c r="P54" s="107">
        <f t="shared" si="9"/>
        <v>1.15</v>
      </c>
    </row>
    <row r="55" spans="4:16" ht="18" customHeight="1">
      <c r="D55" s="101">
        <v>195</v>
      </c>
      <c r="E55" s="102">
        <v>2.7684</v>
      </c>
      <c r="F55" s="103">
        <v>21</v>
      </c>
      <c r="G55" s="103">
        <v>3</v>
      </c>
      <c r="H55" s="104">
        <f t="shared" si="0"/>
        <v>0</v>
      </c>
      <c r="I55" s="104">
        <f t="shared" si="1"/>
        <v>0</v>
      </c>
      <c r="J55" s="105">
        <f t="shared" si="2"/>
        <v>7</v>
      </c>
      <c r="K55" s="102">
        <f t="shared" si="3"/>
        <v>1.1666666666666667</v>
      </c>
      <c r="L55" s="102">
        <v>3.5</v>
      </c>
      <c r="M55" s="102">
        <f t="shared" si="8"/>
        <v>7.435066666666667</v>
      </c>
      <c r="N55" s="106">
        <f t="shared" si="5"/>
        <v>1.0743506666666667</v>
      </c>
      <c r="O55" s="102">
        <f t="shared" si="6"/>
        <v>1.07</v>
      </c>
      <c r="P55" s="107">
        <f t="shared" si="9"/>
        <v>1.1496</v>
      </c>
    </row>
    <row r="56" spans="4:16" ht="18" customHeight="1" hidden="1">
      <c r="D56" s="101">
        <v>200</v>
      </c>
      <c r="E56" s="102">
        <v>2.7274</v>
      </c>
      <c r="F56" s="103">
        <v>21</v>
      </c>
      <c r="G56" s="103">
        <v>3</v>
      </c>
      <c r="H56" s="104">
        <f t="shared" si="0"/>
        <v>0</v>
      </c>
      <c r="I56" s="104">
        <f t="shared" si="1"/>
        <v>0</v>
      </c>
      <c r="J56" s="105">
        <f t="shared" si="2"/>
        <v>7</v>
      </c>
      <c r="K56" s="102">
        <f t="shared" si="3"/>
        <v>1.1666666666666667</v>
      </c>
      <c r="L56" s="102">
        <v>3.5</v>
      </c>
      <c r="M56" s="102">
        <f t="shared" si="8"/>
        <v>7.394066666666666</v>
      </c>
      <c r="N56" s="106">
        <f t="shared" si="5"/>
        <v>1.0739406666666667</v>
      </c>
      <c r="O56" s="102">
        <f t="shared" si="6"/>
        <v>1.07</v>
      </c>
      <c r="P56" s="107">
        <f t="shared" si="9"/>
        <v>1.1491</v>
      </c>
    </row>
    <row r="57" spans="4:16" ht="18" customHeight="1" thickBot="1">
      <c r="D57" s="108" t="s">
        <v>153</v>
      </c>
      <c r="E57" s="109">
        <v>2.7274</v>
      </c>
      <c r="F57" s="110">
        <v>21</v>
      </c>
      <c r="G57" s="110">
        <v>3</v>
      </c>
      <c r="H57" s="111">
        <f t="shared" si="0"/>
        <v>0</v>
      </c>
      <c r="I57" s="111">
        <f t="shared" si="1"/>
        <v>0</v>
      </c>
      <c r="J57" s="112">
        <f t="shared" si="2"/>
        <v>7</v>
      </c>
      <c r="K57" s="109">
        <f t="shared" si="3"/>
        <v>1.1666666666666667</v>
      </c>
      <c r="L57" s="109">
        <v>3.5</v>
      </c>
      <c r="M57" s="109">
        <f t="shared" si="8"/>
        <v>7.394066666666666</v>
      </c>
      <c r="N57" s="113">
        <f t="shared" si="5"/>
        <v>1.0739406666666667</v>
      </c>
      <c r="O57" s="109">
        <f t="shared" si="6"/>
        <v>1.07</v>
      </c>
      <c r="P57" s="114">
        <f t="shared" si="9"/>
        <v>1.1491</v>
      </c>
    </row>
    <row r="58" spans="4:16" ht="20.25">
      <c r="D58" s="26" t="s">
        <v>146</v>
      </c>
      <c r="E58" s="27" t="s">
        <v>147</v>
      </c>
      <c r="F58" s="26"/>
      <c r="G58" s="26"/>
      <c r="H58" s="26"/>
      <c r="I58" s="26"/>
      <c r="J58" s="26"/>
      <c r="K58" s="27"/>
      <c r="L58" s="27"/>
      <c r="M58" s="27"/>
      <c r="N58" s="26"/>
      <c r="O58" s="26"/>
      <c r="P58" s="26"/>
    </row>
    <row r="59" spans="4:16" ht="21">
      <c r="D59" s="26"/>
      <c r="E59" s="27" t="s">
        <v>148</v>
      </c>
      <c r="F59" s="26"/>
      <c r="G59" s="26"/>
      <c r="H59" s="26"/>
      <c r="I59" s="26"/>
      <c r="J59" s="26"/>
      <c r="K59" s="27"/>
      <c r="L59" s="27"/>
      <c r="M59" s="27"/>
      <c r="N59" s="26"/>
      <c r="O59" s="26"/>
      <c r="P59" s="26"/>
    </row>
  </sheetData>
  <sheetProtection password="87BD" sheet="1" objects="1" scenarios="1" selectLockedCells="1"/>
  <mergeCells count="14">
    <mergeCell ref="K2:P2"/>
    <mergeCell ref="D8:P8"/>
    <mergeCell ref="D9:P9"/>
    <mergeCell ref="D14:D15"/>
    <mergeCell ref="E14:M14"/>
    <mergeCell ref="N14:N15"/>
    <mergeCell ref="O14:O15"/>
    <mergeCell ref="P14:P15"/>
    <mergeCell ref="D6:E6"/>
    <mergeCell ref="N6:O6"/>
    <mergeCell ref="N4:O4"/>
    <mergeCell ref="N5:O5"/>
    <mergeCell ref="L5:M5"/>
    <mergeCell ref="L4:M4"/>
  </mergeCells>
  <dataValidations count="5">
    <dataValidation type="list" allowBlank="1" showInputMessage="1" showErrorMessage="1" sqref="O11">
      <formula1>$T$21:$T$23</formula1>
    </dataValidation>
    <dataValidation type="list" allowBlank="1" showInputMessage="1" showErrorMessage="1" sqref="K11">
      <formula1>$S$20:$S$23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2">
      <formula1>$S$20:$S$22</formula1>
    </dataValidation>
    <dataValidation type="list" allowBlank="1" showInputMessage="1" showErrorMessage="1" sqref="O12">
      <formula1>$U$20:$U$21</formula1>
    </dataValidation>
  </dataValidations>
  <hyperlinks>
    <hyperlink ref="D6" r:id="rId1" display="www.yotathai.net"/>
    <hyperlink ref="D6:E6" r:id="rId2" display="www.yotathai.net"/>
  </hyperlinks>
  <printOptions horizontalCentered="1"/>
  <pageMargins left="0.5118110236220472" right="0.2755905511811024" top="0.3937007874015748" bottom="0.4724409448818898" header="0.35433070866141736" footer="0.31496062992125984"/>
  <pageSetup blackAndWhite="1" horizontalDpi="300" verticalDpi="300" orientation="portrait" paperSize="9" scale="90" r:id="rId4"/>
  <headerFooter>
    <oddFooter>&amp;Rwww.yotathai.net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1"/>
  </sheetPr>
  <dimension ref="A2:W23"/>
  <sheetViews>
    <sheetView showGridLines="0" showRowColHeaders="0" zoomScalePageLayoutView="0" workbookViewId="0" topLeftCell="A1">
      <selection activeCell="L5" sqref="L5:M5"/>
    </sheetView>
  </sheetViews>
  <sheetFormatPr defaultColWidth="9.140625" defaultRowHeight="12.75"/>
  <cols>
    <col min="1" max="1" width="5.8515625" style="74" customWidth="1"/>
    <col min="2" max="2" width="15.00390625" style="74" customWidth="1"/>
    <col min="3" max="3" width="17.00390625" style="74" customWidth="1"/>
    <col min="4" max="4" width="3.7109375" style="74" customWidth="1"/>
    <col min="5" max="5" width="17.140625" style="74" customWidth="1"/>
    <col min="6" max="6" width="14.421875" style="74" customWidth="1"/>
    <col min="7" max="7" width="14.57421875" style="74" customWidth="1"/>
    <col min="8" max="8" width="3.57421875" style="74" customWidth="1"/>
    <col min="9" max="22" width="9.140625" style="74" customWidth="1"/>
    <col min="23" max="23" width="9.140625" style="74" hidden="1" customWidth="1"/>
    <col min="24" max="16384" width="9.140625" style="74" customWidth="1"/>
  </cols>
  <sheetData>
    <row r="2" spans="1:23" ht="23.25">
      <c r="A2" s="205" t="str">
        <f>"รายการคำนวณเทียบอัตราส่วนเพื่อหา Factor F งานก่อสร้าง"&amp;IF(W2=1,W3,IF(W2=2,W4,IF(W2=3,W5,W6)))</f>
        <v>รายการคำนวณเทียบอัตราส่วนเพื่อหา Factor F งานก่อสร้างทาง</v>
      </c>
      <c r="B2" s="205"/>
      <c r="C2" s="205"/>
      <c r="D2" s="205"/>
      <c r="E2" s="205"/>
      <c r="F2" s="205"/>
      <c r="G2" s="205"/>
      <c r="W2" s="74">
        <f>IF(L5="อาคาร",1,IF(L5="ทาง",2,IF(L5="ชลประทาน",3,IF(L5="สะพานและท่อเหลี่ยม",4))))</f>
        <v>2</v>
      </c>
    </row>
    <row r="3" spans="1:23" ht="20.25">
      <c r="A3" s="206" t="s">
        <v>96</v>
      </c>
      <c r="B3" s="206"/>
      <c r="C3" s="206"/>
      <c r="D3" s="206"/>
      <c r="E3" s="206"/>
      <c r="F3" s="206"/>
      <c r="G3" s="206"/>
      <c r="I3" s="156"/>
      <c r="J3" s="208" t="s">
        <v>166</v>
      </c>
      <c r="K3" s="209"/>
      <c r="L3" s="209"/>
      <c r="M3" s="209"/>
      <c r="N3" s="209"/>
      <c r="O3" s="210"/>
      <c r="P3" s="163"/>
      <c r="W3" s="74" t="s">
        <v>117</v>
      </c>
    </row>
    <row r="4" spans="1:23" ht="21">
      <c r="A4" s="75" t="s">
        <v>110</v>
      </c>
      <c r="I4" s="156"/>
      <c r="J4" s="155"/>
      <c r="K4" s="156"/>
      <c r="L4" s="156"/>
      <c r="M4" s="156"/>
      <c r="N4" s="156"/>
      <c r="O4" s="157"/>
      <c r="P4" s="156"/>
      <c r="W4" s="74" t="s">
        <v>118</v>
      </c>
    </row>
    <row r="5" spans="1:23" ht="20.25">
      <c r="A5" s="76"/>
      <c r="B5" s="76" t="s">
        <v>168</v>
      </c>
      <c r="C5" s="74" t="s">
        <v>102</v>
      </c>
      <c r="E5" s="77"/>
      <c r="I5" s="156"/>
      <c r="J5" s="155"/>
      <c r="K5" s="161"/>
      <c r="L5" s="207" t="s">
        <v>118</v>
      </c>
      <c r="M5" s="207"/>
      <c r="N5" s="162"/>
      <c r="O5" s="157"/>
      <c r="P5" s="156"/>
      <c r="W5" s="74" t="s">
        <v>119</v>
      </c>
    </row>
    <row r="6" spans="2:23" ht="21">
      <c r="B6" s="76" t="s">
        <v>104</v>
      </c>
      <c r="C6" s="74" t="s">
        <v>112</v>
      </c>
      <c r="E6" s="77"/>
      <c r="I6" s="156"/>
      <c r="J6" s="158"/>
      <c r="K6" s="159"/>
      <c r="L6" s="159"/>
      <c r="M6" s="159"/>
      <c r="N6" s="159"/>
      <c r="O6" s="160"/>
      <c r="P6" s="156"/>
      <c r="W6" s="74" t="s">
        <v>128</v>
      </c>
    </row>
    <row r="7" spans="3:16" ht="20.25">
      <c r="C7" s="74" t="s">
        <v>169</v>
      </c>
      <c r="E7" s="77"/>
      <c r="I7" s="156"/>
      <c r="J7" s="156"/>
      <c r="K7" s="156"/>
      <c r="L7" s="156"/>
      <c r="M7" s="156"/>
      <c r="N7" s="156"/>
      <c r="O7" s="156"/>
      <c r="P7" s="156"/>
    </row>
    <row r="8" spans="2:9" ht="21">
      <c r="B8" s="76" t="s">
        <v>105</v>
      </c>
      <c r="C8" s="74" t="s">
        <v>113</v>
      </c>
      <c r="E8" s="77"/>
      <c r="I8" s="88" t="s">
        <v>123</v>
      </c>
    </row>
    <row r="9" spans="2:10" ht="20.25">
      <c r="B9" s="76"/>
      <c r="C9" s="74" t="s">
        <v>169</v>
      </c>
      <c r="E9" s="77"/>
      <c r="J9" s="74" t="s">
        <v>126</v>
      </c>
    </row>
    <row r="10" spans="2:9" ht="21">
      <c r="B10" s="76" t="s">
        <v>106</v>
      </c>
      <c r="C10" s="74" t="s">
        <v>114</v>
      </c>
      <c r="E10" s="77"/>
      <c r="I10" s="74" t="s">
        <v>124</v>
      </c>
    </row>
    <row r="11" spans="2:9" ht="20.25">
      <c r="B11" s="76"/>
      <c r="C11" s="74" t="s">
        <v>103</v>
      </c>
      <c r="E11" s="77"/>
      <c r="I11" s="74" t="s">
        <v>125</v>
      </c>
    </row>
    <row r="12" spans="2:9" ht="21">
      <c r="B12" s="76" t="s">
        <v>107</v>
      </c>
      <c r="C12" s="74" t="s">
        <v>115</v>
      </c>
      <c r="I12" s="74" t="s">
        <v>167</v>
      </c>
    </row>
    <row r="13" spans="3:9" ht="20.25">
      <c r="C13" s="74" t="s">
        <v>103</v>
      </c>
      <c r="I13" s="164" t="s">
        <v>127</v>
      </c>
    </row>
    <row r="14" ht="21">
      <c r="A14" s="75" t="s">
        <v>98</v>
      </c>
    </row>
    <row r="15" spans="2:6" ht="20.25">
      <c r="B15" s="74" t="s">
        <v>108</v>
      </c>
      <c r="E15" s="78">
        <f>IF(W2=1,F_อาคาร!N4,IF(W2=2,F_ทาง!M4,IF(W2=3,F_ชลประทาน!M4,IF(W2=4,F_สะพานและท่อเหลี่ยม!N4))))</f>
        <v>18000000</v>
      </c>
      <c r="F15" s="79" t="s">
        <v>172</v>
      </c>
    </row>
    <row r="16" spans="2:6" ht="20.25">
      <c r="B16" s="74" t="s">
        <v>170</v>
      </c>
      <c r="E16" s="80">
        <f>IF(W2=1,F_อาคาร!T7*1000000,IF(W2=2,F_ทาง!AA17*1000000,IF(W2=3,F_ชลประทาน!AA17*1000000,IF(W2=4,F_สะพานและท่อเหลี่ยม!T15*1000000))))</f>
        <v>10000000</v>
      </c>
      <c r="F16" s="79" t="s">
        <v>173</v>
      </c>
    </row>
    <row r="17" spans="2:6" ht="20.25">
      <c r="B17" s="74" t="s">
        <v>171</v>
      </c>
      <c r="E17" s="78">
        <f>IF(W2=1,F_อาคาร!T10*1000000,IF(W2=2,F_ทาง!AA20*1000000,IF(W2=3,F_ชลประทาน!AA20*1000000,IF(W2=4,F_สะพานและท่อเหลี่ยม!T18*1000000))))</f>
        <v>20000000</v>
      </c>
      <c r="F17" s="79" t="s">
        <v>174</v>
      </c>
    </row>
    <row r="18" spans="2:6" ht="20.25">
      <c r="B18" s="74" t="s">
        <v>177</v>
      </c>
      <c r="E18" s="81">
        <f>IF(W2=1,F_อาคาร!U7,IF(W2=2,F_ทาง!AB17,IF(W2=3,F_ชลประทาน!AB17,IF(W2=4,F_สะพานและท่อเหลี่ยม!U15))))</f>
        <v>1.2916</v>
      </c>
      <c r="F18" s="79" t="s">
        <v>175</v>
      </c>
    </row>
    <row r="19" spans="2:6" ht="20.25">
      <c r="B19" s="74" t="s">
        <v>178</v>
      </c>
      <c r="E19" s="81">
        <f>IF(W2=1,F_อาคาร!U10,IF(W2=2,F_ทาง!AB20,IF(W2=3,F_ชลประทาน!AB20,IF(W2=4,F_สะพานและท่อเหลี่ยม!U18))))</f>
        <v>1.246</v>
      </c>
      <c r="F19" s="79" t="s">
        <v>176</v>
      </c>
    </row>
    <row r="20" ht="21">
      <c r="A20" s="75" t="s">
        <v>109</v>
      </c>
    </row>
    <row r="21" spans="1:2" ht="20.25">
      <c r="A21" s="76" t="s">
        <v>97</v>
      </c>
      <c r="B21" s="74" t="str">
        <f>FIXED(E18,4)&amp;" - {("&amp;FIXED(E18,4)&amp;" - "&amp;FIXED(E19,4)&amp;") x ("&amp;FIXED(E15,2)&amp;" - "&amp;FIXED(E16,0)&amp;") / ("&amp;FIXED(E17,0)&amp;" - "&amp;FIXED(E16,0)&amp;")}"</f>
        <v>1.2916 - {(1.2916 - 1.2460) x (18,000,000.00 - 10,000,000) / (20,000,000 - 10,000,000)}</v>
      </c>
    </row>
    <row r="22" ht="21">
      <c r="A22" s="83" t="s">
        <v>116</v>
      </c>
    </row>
    <row r="23" spans="1:2" ht="21">
      <c r="A23" s="76" t="s">
        <v>97</v>
      </c>
      <c r="B23" s="82">
        <f>E18-((E18-E19)*(E15-E16)/(E17-E16))</f>
        <v>1.25512</v>
      </c>
    </row>
  </sheetData>
  <sheetProtection password="87BD" sheet="1" objects="1" scenarios="1" selectLockedCells="1"/>
  <mergeCells count="4">
    <mergeCell ref="A2:G2"/>
    <mergeCell ref="A3:G3"/>
    <mergeCell ref="L5:M5"/>
    <mergeCell ref="J3:O3"/>
  </mergeCells>
  <dataValidations count="1">
    <dataValidation type="list" allowBlank="1" showInputMessage="1" showErrorMessage="1" sqref="L5:M5">
      <formula1>$W$3:$W$6</formula1>
    </dataValidation>
  </dataValidations>
  <printOptions/>
  <pageMargins left="0.79" right="0.37" top="0.39" bottom="0.47" header="0.3" footer="0.3"/>
  <pageSetup orientation="portrait" paperSize="9" r:id="rId1"/>
  <headerFooter>
    <oddFooter>&amp;Rwww.yotathai.net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ตารางคำนวณค่า Factor F 2550</dc:title>
  <dc:subject/>
  <dc:creator>นายอภิสิทธิ์  มากสุวรรณ</dc:creator>
  <cp:keywords/>
  <dc:description/>
  <cp:lastModifiedBy>ANG</cp:lastModifiedBy>
  <cp:lastPrinted>2012-05-15T07:33:15Z</cp:lastPrinted>
  <dcterms:created xsi:type="dcterms:W3CDTF">1996-10-14T23:33:28Z</dcterms:created>
  <dcterms:modified xsi:type="dcterms:W3CDTF">2012-05-15T07:35:34Z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